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10" windowWidth="11970" windowHeight="2025" tabRatio="601" firstSheet="3" activeTab="6"/>
  </bookViews>
  <sheets>
    <sheet name="Aktīvi" sheetId="1" r:id="rId1"/>
    <sheet name="Pasīvi" sheetId="2" r:id="rId2"/>
    <sheet name="Aktīva posteņu analīze" sheetId="3" r:id="rId3"/>
    <sheet name="Pasīva posteņu analīze" sheetId="4" r:id="rId4"/>
    <sheet name="Ienākumi un izdevumi" sheetId="5" r:id="rId5"/>
    <sheet name="Ienākumi" sheetId="6" r:id="rId6"/>
    <sheet name="Izdevumi" sheetId="7" r:id="rId7"/>
  </sheets>
  <definedNames>
    <definedName name="_xlnm.Print_Area" localSheetId="0">'Aktīvi'!$A$1:$J$55</definedName>
    <definedName name="_xlnm.Print_Area" localSheetId="5">'Ienākumi'!$A$1:$R$29</definedName>
  </definedNames>
  <calcPr fullCalcOnLoad="1"/>
</workbook>
</file>

<file path=xl/sharedStrings.xml><?xml version="1.0" encoding="utf-8"?>
<sst xmlns="http://schemas.openxmlformats.org/spreadsheetml/2006/main" count="653" uniqueCount="181">
  <si>
    <t>31.12.94.</t>
  </si>
  <si>
    <t>31.12.95.</t>
  </si>
  <si>
    <t>31.12.96.</t>
  </si>
  <si>
    <t>31.12.97.</t>
  </si>
  <si>
    <t>Kase</t>
  </si>
  <si>
    <t>Prasības pret Latvijas Banku</t>
  </si>
  <si>
    <t>Prasības pret kredītiestādēm</t>
  </si>
  <si>
    <t>Kredīti</t>
  </si>
  <si>
    <t>Pārējie vērtspapīri</t>
  </si>
  <si>
    <t>Pārējie aktīvi</t>
  </si>
  <si>
    <t>Aktīvi kopā</t>
  </si>
  <si>
    <t>Aktīvi pārvaldīšanā</t>
  </si>
  <si>
    <t>-</t>
  </si>
  <si>
    <t>%-tos no aktīvu kopsummas</t>
  </si>
  <si>
    <t>Saistības pret Latvijas Banku</t>
  </si>
  <si>
    <t>Saistības pret kredītiestādēm</t>
  </si>
  <si>
    <t>Noguldījumi</t>
  </si>
  <si>
    <t>Tranzītfondi</t>
  </si>
  <si>
    <t>Pārējās saistības</t>
  </si>
  <si>
    <t>Nākamo periodu ienākumi un uzkrātie izdevumi</t>
  </si>
  <si>
    <t>Uzkrājumi parādiem un saistībām</t>
  </si>
  <si>
    <t>Pakārtotās saistības (subordinētais kapitāls)</t>
  </si>
  <si>
    <t>Kapitāls un rezerves</t>
  </si>
  <si>
    <t>Pasīvi kopā</t>
  </si>
  <si>
    <t>Pasīvi pārvaldīšanā</t>
  </si>
  <si>
    <t>%-tos no pasīvu kopsummas</t>
  </si>
  <si>
    <t>Izsniegto kredītu kopsumma</t>
  </si>
  <si>
    <t>*</t>
  </si>
  <si>
    <t>% - tos</t>
  </si>
  <si>
    <t>Attiecība starp speciāliem uzkrājumiem nebankām un</t>
  </si>
  <si>
    <t>Kredītportfeļa kvalitāte</t>
  </si>
  <si>
    <t>%-tos</t>
  </si>
  <si>
    <t>Kopā</t>
  </si>
  <si>
    <t>Akciju kapitāls (pamatkapitāls)</t>
  </si>
  <si>
    <t>Akciju emisijas uzcenojums</t>
  </si>
  <si>
    <t>Rezerves kapitāls</t>
  </si>
  <si>
    <t>Vispārējo risku rezerve</t>
  </si>
  <si>
    <t>Iepriekšējo gadu nesadalītā peļņa/zaudējumi</t>
  </si>
  <si>
    <t>Pārskata gada nesadalītā peļņa/zaudējumi</t>
  </si>
  <si>
    <t>Pārvērtēšanas rezerve</t>
  </si>
  <si>
    <t>Ārpusbilances saistības</t>
  </si>
  <si>
    <t>Iespējamās saistības (galvojumi un garantijas)</t>
  </si>
  <si>
    <t>Valūtas un procentu nākotnes līgumi</t>
  </si>
  <si>
    <t>Procentu izdevumi</t>
  </si>
  <si>
    <t>Komisijas naudas izdevumi</t>
  </si>
  <si>
    <t>Ilgtermiņa ieguldījumu pārvērtēšanas peļņa/zaudējumi</t>
  </si>
  <si>
    <t>Citi parastie izdevumi</t>
  </si>
  <si>
    <t>Izdevumi uzkrājumiem nedrošiem parādiem (neto)</t>
  </si>
  <si>
    <t>Administratīvie izdevumi</t>
  </si>
  <si>
    <t>Nemateriālo aktīvu un pamatlīdzekļu vērtības nolietojums un</t>
  </si>
  <si>
    <t>norakstīšana</t>
  </si>
  <si>
    <t>Parastās darbības peļņa/zaudējumi</t>
  </si>
  <si>
    <t>Ārkārtas ienākumi</t>
  </si>
  <si>
    <t>Ārkārtas izdevumi</t>
  </si>
  <si>
    <t>Peļņa/zaudējumi pirms nodokļu aprēķināšanas</t>
  </si>
  <si>
    <t>Nodokļi</t>
  </si>
  <si>
    <t>Kapitāla atdeve (ROE)</t>
  </si>
  <si>
    <t>Aktīvu atdeve (ROA)</t>
  </si>
  <si>
    <t>Efektīvā kredītu procentu likme (Effective rate of interest on credits)</t>
  </si>
  <si>
    <t>Banku finansiālās darbības efektivitātes koeficients (Efficiency ratio)</t>
  </si>
  <si>
    <t>Tīrā procentu ienākumu marža (Net interest margin)</t>
  </si>
  <si>
    <t>Ilgtermiņa ieguldījumu pārvērtēšanas peļņa</t>
  </si>
  <si>
    <t>Izdevumi uzkrājumiem nedrošiem parādiem</t>
  </si>
  <si>
    <t>Nemateriālo aktīvu un pamatlīdz. vērtības nolietojums un norakstīšana</t>
  </si>
  <si>
    <t>Zaudējumi no ārvalstu valūtas pārvērtēšanas</t>
  </si>
  <si>
    <t>Finansiālās darbības peļņa/zaudējumi</t>
  </si>
  <si>
    <t>31.12.98.</t>
  </si>
  <si>
    <t>31.12.99.</t>
  </si>
  <si>
    <t>(tūkst. latu)</t>
  </si>
  <si>
    <t>summa</t>
  </si>
  <si>
    <t>%</t>
  </si>
  <si>
    <t>tūkst. latu</t>
  </si>
  <si>
    <t>31.12.00.</t>
  </si>
  <si>
    <t>Centrālām bankām</t>
  </si>
  <si>
    <t>31.12.01.</t>
  </si>
  <si>
    <t xml:space="preserve">n/a </t>
  </si>
  <si>
    <t xml:space="preserve">n/d </t>
  </si>
  <si>
    <t>Pieprasījuma noguldījumi</t>
  </si>
  <si>
    <t>Termiņnoguldījumi</t>
  </si>
  <si>
    <t>Latvijas kredītiestādēm</t>
  </si>
  <si>
    <t>OECD dalībvalstu kredītiestādēm</t>
  </si>
  <si>
    <t>Pārējo valstu kredītiestādēm</t>
  </si>
  <si>
    <t>Centrālo valdību vērtspapīri</t>
  </si>
  <si>
    <t>Valdībām un pašvaldībām</t>
  </si>
  <si>
    <t>Valsts uzņēmumiem un valsts finanšu institūcijām</t>
  </si>
  <si>
    <t>Privātpersonām</t>
  </si>
  <si>
    <t>Privātuzņēmumiem un privātajām finansu institūcijām</t>
  </si>
  <si>
    <t>Sabiedriskajām un reliģiskajām organizācijām</t>
  </si>
  <si>
    <t>Tranzītkredīti</t>
  </si>
  <si>
    <t>Pārējo emitentu obligācijas u.c. parāda vērtspapīri ar fiksētu ienākumu</t>
  </si>
  <si>
    <t>Akcijas u.c. vērtspapīri ar nefiksētu ienākumu</t>
  </si>
  <si>
    <t>Investīcijas uzņēmumu pamatkapitālā (līdzdalība)</t>
  </si>
  <si>
    <t>Nemateriālie aktīvi un pamatlīdzekļi</t>
  </si>
  <si>
    <t>Nākamo periodu izdevumi un uzkrātie ienākumi</t>
  </si>
  <si>
    <t>Valdību un pašvaldību</t>
  </si>
  <si>
    <t>Valsts uzņēmumu un valsts finanšu institūciju</t>
  </si>
  <si>
    <t>Privātuzņēmumu un privāto finanšu institūciju</t>
  </si>
  <si>
    <t>Privātpersonu</t>
  </si>
  <si>
    <t>Sabiedrisko un reliģisko organizāciju</t>
  </si>
  <si>
    <t>Emitētās obligācijas u.c. parāda vērtspapīri</t>
  </si>
  <si>
    <t>Speciālie uzkrājumi nedrošiem parādiem</t>
  </si>
  <si>
    <t>Rezidentiem (iekšzemes)</t>
  </si>
  <si>
    <t>Valdībām</t>
  </si>
  <si>
    <t>Valsts uzņēmumiem un valsts finansu institūcijām</t>
  </si>
  <si>
    <t>Nerezidentiem (ārvalstu)</t>
  </si>
  <si>
    <t>Pieprasījuma</t>
  </si>
  <si>
    <t>Īstermiņa (līdz 1 gadam)</t>
  </si>
  <si>
    <t>Vidēja termiņa (1 līdz 5 gadiem)</t>
  </si>
  <si>
    <t>Ilgtermiņa (ilgāk par 5 gadiem)</t>
  </si>
  <si>
    <t>* nav iekļauti tranzītkredīti</t>
  </si>
  <si>
    <t>Kredīti (bruto)</t>
  </si>
  <si>
    <t>Speciālie uzkrājumi prasībām pret nebankām</t>
  </si>
  <si>
    <t>Kredīti neto</t>
  </si>
  <si>
    <t>Kredītportfeļa tīrā vērtība</t>
  </si>
  <si>
    <t>Standarta kredīti</t>
  </si>
  <si>
    <t>Uzraugāmie kredīti</t>
  </si>
  <si>
    <t xml:space="preserve">Ieņēmumus nenesošie kredīti </t>
  </si>
  <si>
    <t>Zemstandarta</t>
  </si>
  <si>
    <t>Šaubīgie</t>
  </si>
  <si>
    <t>Zaudētie</t>
  </si>
  <si>
    <t>Valdību vērtspapīri</t>
  </si>
  <si>
    <t>Latvijas centrālās valdības vērtspapīri</t>
  </si>
  <si>
    <t>Ārvalstu centrālo valdību vērtspapīri</t>
  </si>
  <si>
    <t>Ārvalstu vietējo valdību vērtspapīri</t>
  </si>
  <si>
    <t>Rezidentu (iekšzemes)</t>
  </si>
  <si>
    <t>Valdības</t>
  </si>
  <si>
    <t>Nerezidentu (ārvalstu)</t>
  </si>
  <si>
    <t>Vidēja termiņa (1 līdz 5 gadi)</t>
  </si>
  <si>
    <t>Rezidentu</t>
  </si>
  <si>
    <t>Nerezidentu</t>
  </si>
  <si>
    <t>Kapitāls un rezerves kopā</t>
  </si>
  <si>
    <t>Saistības pret klientiem (t.sk. akreditīvi un kredītkaršu saist. u.c.)</t>
  </si>
  <si>
    <t>nebankām izsniegto kredītu kopsummu</t>
  </si>
  <si>
    <t>Efektīvā banku aizņēmumu procentu likme (Effective costs on bank borrowings)</t>
  </si>
  <si>
    <t>Efektīvā noguldījumu procentu likme (Effective rate of interest on deposits)</t>
  </si>
  <si>
    <t>Banku pelnītspējas rādītāji</t>
  </si>
  <si>
    <t>Procentu ienākumi</t>
  </si>
  <si>
    <t>Procentu ienāumi no prasībām pret kredītiestādēm</t>
  </si>
  <si>
    <t>Procentu ienākumi no kredītiem nebankām</t>
  </si>
  <si>
    <t>Procentu ienākumi no obligācijām u.c. parāda vērtspapīriem ar fiksētu ienākumu</t>
  </si>
  <si>
    <t>Nākotnes līgumu procentu ienākumi</t>
  </si>
  <si>
    <t>Pārējie procentu ienākumi</t>
  </si>
  <si>
    <t>Procentu izdevumi par saistībām pret kredītiestādēm</t>
  </si>
  <si>
    <t>Procentu izdevumi par nebanku noguldījumiem</t>
  </si>
  <si>
    <t>Procentu izdevumi par obligācijām u.c. parāda vērtspapīriem ar fiksētu ienākumu</t>
  </si>
  <si>
    <t>Pakārtoto saistību procentu izdevumi</t>
  </si>
  <si>
    <t>Nākotnes līgumu procentu izdevumi</t>
  </si>
  <si>
    <t>Pārējie procentu izdevumi</t>
  </si>
  <si>
    <t>Tīrie procentu ienākumi</t>
  </si>
  <si>
    <t>Tīrie starpniekdarbības ienākumi</t>
  </si>
  <si>
    <t>Komisijas naudas ienākumi</t>
  </si>
  <si>
    <t>Darījumu ar vērtspapīriem un ārvalstu valūtām peļņa/zaudējumi</t>
  </si>
  <si>
    <t>Ārvalstu valūtu pirkšanas un pārdošanas peļņa/zaudējumi</t>
  </si>
  <si>
    <t>Vērtspapīru tirdzniecības peļņa/zaudējumi</t>
  </si>
  <si>
    <t>Spekulatīvie ienākumi</t>
  </si>
  <si>
    <t>Ārvalstu valūtas pārvērtēšanas rezultāts</t>
  </si>
  <si>
    <t>Apgrozāmo vērtspapīru pārvērtēšanas rezultāts</t>
  </si>
  <si>
    <t>Citu finanšu instrumentu tirdzniecības  peļņa/zaudējums</t>
  </si>
  <si>
    <t>Dividenžu ienākumi</t>
  </si>
  <si>
    <t>Citi parastie ienākumi</t>
  </si>
  <si>
    <t>Padomes un valdes atalgojums</t>
  </si>
  <si>
    <t>Personāla atalgojums</t>
  </si>
  <si>
    <t>Pārējie izdevumi</t>
  </si>
  <si>
    <t>Ārvalstu valūtu pirkšanas un pārdošanas peļņa</t>
  </si>
  <si>
    <t>Vērtspapīru tirdzniecības peļņa</t>
  </si>
  <si>
    <t>Citu finanšu instrumentu tirdzniecības peļņa</t>
  </si>
  <si>
    <t>Uzkrājumu samazināšanās ienākumi</t>
  </si>
  <si>
    <t>Banku ienākumi</t>
  </si>
  <si>
    <t>Banku peļņas un zaudējumu aprēķins</t>
  </si>
  <si>
    <t>Ārvalstu valūtu pirkšanas un pārdošanas zaudējumi</t>
  </si>
  <si>
    <t>Vērtspapīru tirdzniecības zaudējumi</t>
  </si>
  <si>
    <t>Spekulatīvo darījumu zaudējumi</t>
  </si>
  <si>
    <t>Banku izdevumi</t>
  </si>
  <si>
    <t>Banku aktīvi</t>
  </si>
  <si>
    <t>Banku pasīvi</t>
  </si>
  <si>
    <t>Banku aktīva posteņu analīze</t>
  </si>
  <si>
    <t>Banku pasīva posteņu analīze</t>
  </si>
  <si>
    <t>Zaudējumi no apgrozāmo vērtspapīru pārvērtēšanas</t>
  </si>
  <si>
    <t xml:space="preserve">Zaudējumi no ilgtermiņa ieguldījumu pārvērtēšanas </t>
  </si>
  <si>
    <t xml:space="preserve">Zaudējumi no citu finanšu instrumentu tirdzniecības </t>
  </si>
  <si>
    <t>Spekulatīvo darījumu ienākumi</t>
  </si>
</sst>
</file>

<file path=xl/styles.xml><?xml version="1.0" encoding="utf-8"?>
<styleSheet xmlns="http://schemas.openxmlformats.org/spreadsheetml/2006/main">
  <numFmts count="2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"/>
    <numFmt numFmtId="182" formatCode="#,##0.0"/>
    <numFmt numFmtId="183" formatCode="#,##0\ _L_s"/>
  </numFmts>
  <fonts count="13">
    <font>
      <sz val="10"/>
      <name val="Teutonica Baltic"/>
      <family val="0"/>
    </font>
    <font>
      <b/>
      <sz val="10"/>
      <name val="Teutonica Baltic"/>
      <family val="0"/>
    </font>
    <font>
      <i/>
      <sz val="10"/>
      <name val="Teutonica Baltic"/>
      <family val="0"/>
    </font>
    <font>
      <b/>
      <i/>
      <sz val="10"/>
      <name val="Teutonica Baltic"/>
      <family val="0"/>
    </font>
    <font>
      <sz val="9"/>
      <name val="Teutonica Baltic"/>
      <family val="1"/>
    </font>
    <font>
      <b/>
      <sz val="11"/>
      <name val="Teutonica Baltic"/>
      <family val="1"/>
    </font>
    <font>
      <b/>
      <sz val="9"/>
      <name val="Teutonica Baltic"/>
      <family val="0"/>
    </font>
    <font>
      <i/>
      <sz val="8"/>
      <name val="Teutonica Baltic"/>
      <family val="1"/>
    </font>
    <font>
      <sz val="7"/>
      <name val="Teutonica Baltic"/>
      <family val="1"/>
    </font>
    <font>
      <b/>
      <sz val="7"/>
      <name val="Teutonica Baltic"/>
      <family val="1"/>
    </font>
    <font>
      <vertAlign val="superscript"/>
      <sz val="9"/>
      <name val="Teutonica Baltic"/>
      <family val="1"/>
    </font>
    <font>
      <sz val="8"/>
      <name val="Teutonica Baltic"/>
      <family val="1"/>
    </font>
    <font>
      <b/>
      <sz val="12"/>
      <name val="Teutonica Balti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" fontId="8" fillId="0" borderId="3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8" fillId="0" borderId="3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2" borderId="0" xfId="0" applyNumberFormat="1" applyFont="1" applyFill="1" applyBorder="1" applyAlignment="1">
      <alignment/>
    </xf>
    <xf numFmtId="3" fontId="8" fillId="0" borderId="3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0" fontId="8" fillId="0" borderId="3" xfId="0" applyFont="1" applyFill="1" applyBorder="1" applyAlignment="1">
      <alignment horizontal="right"/>
    </xf>
    <xf numFmtId="2" fontId="8" fillId="0" borderId="3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2" borderId="3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1" fontId="11" fillId="0" borderId="3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8" fillId="0" borderId="2" xfId="0" applyNumberFormat="1" applyFont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8" fillId="0" borderId="3" xfId="0" applyNumberFormat="1" applyFont="1" applyFill="1" applyBorder="1" applyAlignment="1" applyProtection="1">
      <alignment vertical="center"/>
      <protection/>
    </xf>
    <xf numFmtId="3" fontId="8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8" fillId="0" borderId="3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9" fillId="0" borderId="6" xfId="0" applyNumberFormat="1" applyFont="1" applyBorder="1" applyAlignment="1">
      <alignment/>
    </xf>
    <xf numFmtId="3" fontId="1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" fontId="8" fillId="0" borderId="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2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/>
    </xf>
    <xf numFmtId="1" fontId="11" fillId="0" borderId="3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8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6" xfId="0" applyFont="1" applyFill="1" applyBorder="1" applyAlignment="1">
      <alignment horizontal="right"/>
    </xf>
    <xf numFmtId="3" fontId="8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4" fontId="8" fillId="0" borderId="3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top"/>
    </xf>
    <xf numFmtId="3" fontId="8" fillId="0" borderId="14" xfId="0" applyNumberFormat="1" applyFont="1" applyFill="1" applyBorder="1" applyAlignment="1">
      <alignment/>
    </xf>
    <xf numFmtId="0" fontId="6" fillId="2" borderId="12" xfId="0" applyFont="1" applyFill="1" applyBorder="1" applyAlignment="1">
      <alignment/>
    </xf>
    <xf numFmtId="3" fontId="9" fillId="2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2" fontId="9" fillId="2" borderId="20" xfId="0" applyNumberFormat="1" applyFont="1" applyFill="1" applyBorder="1" applyAlignment="1">
      <alignment/>
    </xf>
    <xf numFmtId="2" fontId="9" fillId="2" borderId="21" xfId="0" applyNumberFormat="1" applyFont="1" applyFill="1" applyBorder="1" applyAlignment="1">
      <alignment/>
    </xf>
    <xf numFmtId="2" fontId="9" fillId="2" borderId="20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4" fillId="0" borderId="12" xfId="0" applyFont="1" applyFill="1" applyBorder="1" applyAlignment="1">
      <alignment/>
    </xf>
    <xf numFmtId="3" fontId="8" fillId="0" borderId="16" xfId="0" applyNumberFormat="1" applyFont="1" applyBorder="1" applyAlignment="1">
      <alignment horizontal="right" vertical="center"/>
    </xf>
    <xf numFmtId="0" fontId="6" fillId="2" borderId="21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9" fillId="0" borderId="16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" fontId="8" fillId="0" borderId="25" xfId="0" applyNumberFormat="1" applyFont="1" applyFill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3" fontId="9" fillId="2" borderId="20" xfId="0" applyNumberFormat="1" applyFont="1" applyFill="1" applyBorder="1" applyAlignment="1">
      <alignment/>
    </xf>
    <xf numFmtId="3" fontId="9" fillId="2" borderId="21" xfId="0" applyNumberFormat="1" applyFont="1" applyFill="1" applyBorder="1" applyAlignment="1">
      <alignment/>
    </xf>
    <xf numFmtId="3" fontId="9" fillId="2" borderId="2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3" fontId="8" fillId="0" borderId="20" xfId="0" applyNumberFormat="1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3" fontId="8" fillId="0" borderId="24" xfId="0" applyNumberFormat="1" applyFont="1" applyBorder="1" applyAlignment="1">
      <alignment/>
    </xf>
    <xf numFmtId="0" fontId="6" fillId="2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9" fillId="2" borderId="21" xfId="0" applyNumberFormat="1" applyFont="1" applyFill="1" applyBorder="1" applyAlignment="1">
      <alignment vertical="center"/>
    </xf>
    <xf numFmtId="3" fontId="9" fillId="2" borderId="20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1" fontId="11" fillId="0" borderId="20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1" fontId="11" fillId="0" borderId="20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182" fontId="11" fillId="0" borderId="26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2" fontId="8" fillId="0" borderId="14" xfId="0" applyNumberFormat="1" applyFont="1" applyFill="1" applyBorder="1" applyAlignment="1">
      <alignment horizontal="right"/>
    </xf>
    <xf numFmtId="3" fontId="9" fillId="2" borderId="20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right"/>
    </xf>
    <xf numFmtId="2" fontId="9" fillId="2" borderId="21" xfId="0" applyNumberFormat="1" applyFont="1" applyFill="1" applyBorder="1" applyAlignment="1">
      <alignment horizontal="right"/>
    </xf>
    <xf numFmtId="3" fontId="9" fillId="2" borderId="26" xfId="0" applyNumberFormat="1" applyFont="1" applyFill="1" applyBorder="1" applyAlignment="1">
      <alignment horizontal="right"/>
    </xf>
    <xf numFmtId="2" fontId="9" fillId="2" borderId="26" xfId="0" applyNumberFormat="1" applyFont="1" applyFill="1" applyBorder="1" applyAlignment="1">
      <alignment/>
    </xf>
    <xf numFmtId="2" fontId="9" fillId="2" borderId="25" xfId="0" applyNumberFormat="1" applyFont="1" applyFill="1" applyBorder="1" applyAlignment="1">
      <alignment horizontal="right"/>
    </xf>
    <xf numFmtId="14" fontId="4" fillId="0" borderId="11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2" fontId="11" fillId="0" borderId="14" xfId="0" applyNumberFormat="1" applyFont="1" applyBorder="1" applyAlignment="1">
      <alignment/>
    </xf>
    <xf numFmtId="182" fontId="11" fillId="0" borderId="25" xfId="0" applyNumberFormat="1" applyFont="1" applyBorder="1" applyAlignment="1">
      <alignment vertical="center"/>
    </xf>
    <xf numFmtId="182" fontId="8" fillId="0" borderId="13" xfId="0" applyNumberFormat="1" applyFont="1" applyFill="1" applyBorder="1" applyAlignment="1">
      <alignment vertical="center"/>
    </xf>
    <xf numFmtId="182" fontId="8" fillId="0" borderId="14" xfId="0" applyNumberFormat="1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vertical="center"/>
    </xf>
    <xf numFmtId="182" fontId="9" fillId="0" borderId="25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4" fontId="9" fillId="2" borderId="25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9" fillId="2" borderId="20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2" borderId="25" xfId="0" applyNumberFormat="1" applyFont="1" applyFill="1" applyBorder="1" applyAlignment="1">
      <alignment/>
    </xf>
    <xf numFmtId="182" fontId="11" fillId="0" borderId="2" xfId="0" applyNumberFormat="1" applyFont="1" applyFill="1" applyBorder="1" applyAlignment="1">
      <alignment/>
    </xf>
    <xf numFmtId="182" fontId="11" fillId="0" borderId="13" xfId="0" applyNumberFormat="1" applyFont="1" applyBorder="1" applyAlignment="1">
      <alignment/>
    </xf>
    <xf numFmtId="1" fontId="11" fillId="0" borderId="3" xfId="0" applyNumberFormat="1" applyFont="1" applyFill="1" applyBorder="1" applyAlignment="1">
      <alignment/>
    </xf>
    <xf numFmtId="182" fontId="11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1" fontId="8" fillId="0" borderId="20" xfId="0" applyNumberFormat="1" applyFont="1" applyFill="1" applyBorder="1" applyAlignment="1">
      <alignment/>
    </xf>
    <xf numFmtId="0" fontId="8" fillId="0" borderId="3" xfId="0" applyFont="1" applyBorder="1" applyAlignment="1">
      <alignment/>
    </xf>
    <xf numFmtId="182" fontId="8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/>
    </xf>
    <xf numFmtId="182" fontId="9" fillId="0" borderId="2" xfId="0" applyNumberFormat="1" applyFont="1" applyBorder="1" applyAlignment="1">
      <alignment/>
    </xf>
    <xf numFmtId="1" fontId="9" fillId="0" borderId="20" xfId="0" applyNumberFormat="1" applyFont="1" applyFill="1" applyBorder="1" applyAlignment="1">
      <alignment/>
    </xf>
    <xf numFmtId="182" fontId="9" fillId="0" borderId="26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9" fillId="2" borderId="25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2" fontId="8" fillId="0" borderId="14" xfId="0" applyNumberFormat="1" applyFont="1" applyBorder="1" applyAlignment="1">
      <alignment horizontal="right"/>
    </xf>
    <xf numFmtId="3" fontId="9" fillId="2" borderId="21" xfId="0" applyNumberFormat="1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right"/>
    </xf>
    <xf numFmtId="2" fontId="8" fillId="2" borderId="25" xfId="0" applyNumberFormat="1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2" sqref="E42"/>
    </sheetView>
  </sheetViews>
  <sheetFormatPr defaultColWidth="9.00390625" defaultRowHeight="12.75"/>
  <cols>
    <col min="1" max="1" width="3.875" style="69" customWidth="1"/>
    <col min="2" max="2" width="41.00390625" style="69" customWidth="1"/>
    <col min="3" max="5" width="8.75390625" style="69" customWidth="1"/>
    <col min="6" max="6" width="9.625" style="69" customWidth="1"/>
    <col min="7" max="7" width="8.375" style="78" customWidth="1"/>
    <col min="8" max="8" width="9.125" style="78" customWidth="1"/>
    <col min="9" max="16384" width="9.125" style="69" customWidth="1"/>
  </cols>
  <sheetData>
    <row r="1" spans="1:10" ht="26.25" customHeight="1" thickBot="1">
      <c r="A1" s="68"/>
      <c r="B1" s="68"/>
      <c r="C1" s="68"/>
      <c r="D1" s="68"/>
      <c r="E1" s="68"/>
      <c r="F1" s="68"/>
      <c r="G1" s="82"/>
      <c r="H1" s="83"/>
      <c r="I1" s="84"/>
      <c r="J1" s="84"/>
    </row>
    <row r="2" spans="1:10" ht="15" customHeight="1">
      <c r="A2" s="264" t="s">
        <v>173</v>
      </c>
      <c r="B2" s="265"/>
      <c r="C2" s="119" t="s">
        <v>0</v>
      </c>
      <c r="D2" s="120" t="s">
        <v>1</v>
      </c>
      <c r="E2" s="120" t="s">
        <v>2</v>
      </c>
      <c r="F2" s="120" t="s">
        <v>3</v>
      </c>
      <c r="G2" s="147" t="s">
        <v>66</v>
      </c>
      <c r="H2" s="207" t="s">
        <v>67</v>
      </c>
      <c r="I2" s="207" t="s">
        <v>72</v>
      </c>
      <c r="J2" s="208" t="s">
        <v>74</v>
      </c>
    </row>
    <row r="3" spans="1:10" ht="12.75">
      <c r="A3" s="266"/>
      <c r="B3" s="267"/>
      <c r="C3" s="262" t="s">
        <v>71</v>
      </c>
      <c r="D3" s="262"/>
      <c r="E3" s="262"/>
      <c r="F3" s="262"/>
      <c r="G3" s="262"/>
      <c r="H3" s="262"/>
      <c r="I3" s="262"/>
      <c r="J3" s="263"/>
    </row>
    <row r="4" spans="1:10" ht="12.75">
      <c r="A4" s="122" t="s">
        <v>4</v>
      </c>
      <c r="B4" s="2"/>
      <c r="C4" s="70">
        <v>43070.534</v>
      </c>
      <c r="D4" s="71">
        <v>38380.3</v>
      </c>
      <c r="E4" s="11">
        <v>43630.696</v>
      </c>
      <c r="F4" s="71">
        <v>61221.231</v>
      </c>
      <c r="G4" s="48">
        <f>63530-5</f>
        <v>63525</v>
      </c>
      <c r="H4" s="61">
        <v>89016</v>
      </c>
      <c r="I4" s="66">
        <v>89870.972</v>
      </c>
      <c r="J4" s="123">
        <v>121469.527</v>
      </c>
    </row>
    <row r="5" spans="1:10" ht="12.75">
      <c r="A5" s="122" t="s">
        <v>5</v>
      </c>
      <c r="B5" s="2"/>
      <c r="C5" s="70">
        <v>38242.557</v>
      </c>
      <c r="D5" s="71">
        <v>47814.558</v>
      </c>
      <c r="E5" s="11">
        <v>53087.655</v>
      </c>
      <c r="F5" s="71">
        <v>80531.125</v>
      </c>
      <c r="G5" s="48">
        <f>G6+G7</f>
        <v>95669.4</v>
      </c>
      <c r="H5" s="79">
        <f>SUM(H6:H7)</f>
        <v>95740</v>
      </c>
      <c r="I5" s="66">
        <v>80447.63</v>
      </c>
      <c r="J5" s="124">
        <v>82427.637</v>
      </c>
    </row>
    <row r="6" spans="1:10" ht="12.75">
      <c r="A6" s="122"/>
      <c r="B6" s="2" t="s">
        <v>77</v>
      </c>
      <c r="C6" s="70">
        <v>38242.557</v>
      </c>
      <c r="D6" s="71">
        <v>47814.558</v>
      </c>
      <c r="E6" s="11">
        <v>52781.855</v>
      </c>
      <c r="F6" s="71">
        <v>79603.275</v>
      </c>
      <c r="G6" s="48">
        <v>83169.4</v>
      </c>
      <c r="H6" s="79">
        <v>94740</v>
      </c>
      <c r="I6" s="66">
        <v>80447.63</v>
      </c>
      <c r="J6" s="124">
        <v>60427.637</v>
      </c>
    </row>
    <row r="7" spans="1:10" ht="12.75">
      <c r="A7" s="122"/>
      <c r="B7" s="2" t="s">
        <v>78</v>
      </c>
      <c r="C7" s="70">
        <v>0</v>
      </c>
      <c r="D7" s="71">
        <v>0</v>
      </c>
      <c r="E7" s="11">
        <v>305.8</v>
      </c>
      <c r="F7" s="71">
        <v>927.85</v>
      </c>
      <c r="G7" s="48">
        <v>12500</v>
      </c>
      <c r="H7" s="79">
        <v>1000</v>
      </c>
      <c r="I7" s="66">
        <v>0</v>
      </c>
      <c r="J7" s="124">
        <v>22000</v>
      </c>
    </row>
    <row r="8" spans="1:10" ht="12.75">
      <c r="A8" s="122" t="s">
        <v>6</v>
      </c>
      <c r="B8" s="2"/>
      <c r="C8" s="70">
        <v>265507.281</v>
      </c>
      <c r="D8" s="71">
        <v>251009.902</v>
      </c>
      <c r="E8" s="11">
        <v>381450.9</v>
      </c>
      <c r="F8" s="71">
        <v>490013.589</v>
      </c>
      <c r="G8" s="48">
        <f>G9+G10+G11</f>
        <v>316890.8</v>
      </c>
      <c r="H8" s="79">
        <v>439859</v>
      </c>
      <c r="I8" s="66">
        <v>764158.154</v>
      </c>
      <c r="J8" s="124">
        <v>835893.315</v>
      </c>
    </row>
    <row r="9" spans="1:10" ht="12.75">
      <c r="A9" s="122"/>
      <c r="B9" s="2" t="s">
        <v>79</v>
      </c>
      <c r="C9" s="70">
        <v>56856.265</v>
      </c>
      <c r="D9" s="71">
        <v>13746.311</v>
      </c>
      <c r="E9" s="11">
        <v>21223.765</v>
      </c>
      <c r="F9" s="71">
        <v>48525.51</v>
      </c>
      <c r="G9" s="48">
        <v>27842</v>
      </c>
      <c r="H9" s="79">
        <v>19929</v>
      </c>
      <c r="I9" s="66">
        <v>35715.307</v>
      </c>
      <c r="J9" s="124">
        <v>99114.367</v>
      </c>
    </row>
    <row r="10" spans="1:10" ht="12.75">
      <c r="A10" s="122"/>
      <c r="B10" s="2" t="s">
        <v>80</v>
      </c>
      <c r="C10" s="70">
        <v>128344.953</v>
      </c>
      <c r="D10" s="71">
        <v>163423.55</v>
      </c>
      <c r="E10" s="11">
        <v>228067.186</v>
      </c>
      <c r="F10" s="71">
        <v>299167.872</v>
      </c>
      <c r="G10" s="48">
        <f>239437.8+73</f>
        <v>239510.8</v>
      </c>
      <c r="H10" s="79">
        <v>379322</v>
      </c>
      <c r="I10" s="66">
        <v>658805.063</v>
      </c>
      <c r="J10" s="124">
        <v>693600.922</v>
      </c>
    </row>
    <row r="11" spans="1:10" ht="12.75">
      <c r="A11" s="122"/>
      <c r="B11" s="2" t="s">
        <v>81</v>
      </c>
      <c r="C11" s="70">
        <v>80303.761</v>
      </c>
      <c r="D11" s="71">
        <v>73840.023</v>
      </c>
      <c r="E11" s="11">
        <v>132158.015</v>
      </c>
      <c r="F11" s="71">
        <v>142316.537</v>
      </c>
      <c r="G11" s="48">
        <f>49538</f>
        <v>49538</v>
      </c>
      <c r="H11" s="79">
        <v>40603.254</v>
      </c>
      <c r="I11" s="108">
        <v>69638</v>
      </c>
      <c r="J11" s="124">
        <v>42906.752</v>
      </c>
    </row>
    <row r="12" spans="1:10" ht="12.75">
      <c r="A12" s="122"/>
      <c r="B12" s="2" t="s">
        <v>73</v>
      </c>
      <c r="C12" s="11" t="s">
        <v>76</v>
      </c>
      <c r="D12" s="11" t="s">
        <v>76</v>
      </c>
      <c r="E12" s="11" t="s">
        <v>76</v>
      </c>
      <c r="F12" s="11" t="s">
        <v>76</v>
      </c>
      <c r="G12" s="11" t="s">
        <v>76</v>
      </c>
      <c r="H12" s="11" t="s">
        <v>76</v>
      </c>
      <c r="I12" s="11" t="s">
        <v>76</v>
      </c>
      <c r="J12" s="124">
        <v>271.274</v>
      </c>
    </row>
    <row r="13" spans="1:10" ht="12.75">
      <c r="A13" s="122" t="s">
        <v>82</v>
      </c>
      <c r="B13" s="2"/>
      <c r="C13" s="70">
        <v>101123.902</v>
      </c>
      <c r="D13" s="71">
        <v>133641.612</v>
      </c>
      <c r="E13" s="11">
        <v>194806.463</v>
      </c>
      <c r="F13" s="71">
        <v>299671.414</v>
      </c>
      <c r="G13" s="48">
        <v>186187</v>
      </c>
      <c r="H13" s="79">
        <v>215530.259</v>
      </c>
      <c r="I13" s="66">
        <v>257228.631</v>
      </c>
      <c r="J13" s="124">
        <v>244273.154</v>
      </c>
    </row>
    <row r="14" spans="1:12" ht="12.75">
      <c r="A14" s="122" t="s">
        <v>7</v>
      </c>
      <c r="B14" s="2"/>
      <c r="C14" s="70">
        <v>488838.719</v>
      </c>
      <c r="D14" s="71">
        <v>248787.397</v>
      </c>
      <c r="E14" s="11">
        <v>287680.469</v>
      </c>
      <c r="F14" s="71">
        <v>501635.593</v>
      </c>
      <c r="G14" s="48">
        <f>SUM(G15:G20)</f>
        <v>732623.1000000001</v>
      </c>
      <c r="H14" s="61">
        <v>850561</v>
      </c>
      <c r="I14" s="66">
        <v>1086727.676</v>
      </c>
      <c r="J14" s="124">
        <v>1635747.837</v>
      </c>
      <c r="K14" s="30"/>
      <c r="L14" s="84"/>
    </row>
    <row r="15" spans="1:10" ht="12.75">
      <c r="A15" s="122"/>
      <c r="B15" s="2" t="s">
        <v>83</v>
      </c>
      <c r="C15" s="70">
        <v>7663.318</v>
      </c>
      <c r="D15" s="71">
        <v>18948.385</v>
      </c>
      <c r="E15" s="11">
        <v>24690.254</v>
      </c>
      <c r="F15" s="71">
        <v>2655.192</v>
      </c>
      <c r="G15" s="48">
        <f>921.7+7248.1</f>
        <v>8169.8</v>
      </c>
      <c r="H15" s="61">
        <v>18086.399</v>
      </c>
      <c r="I15" s="66">
        <v>37904.773</v>
      </c>
      <c r="J15" s="124">
        <v>51970.156</v>
      </c>
    </row>
    <row r="16" spans="1:10" ht="12.75">
      <c r="A16" s="122"/>
      <c r="B16" s="2" t="s">
        <v>84</v>
      </c>
      <c r="C16" s="70">
        <v>17606.677</v>
      </c>
      <c r="D16" s="71">
        <v>9582.995</v>
      </c>
      <c r="E16" s="11">
        <v>11752.456</v>
      </c>
      <c r="F16" s="71">
        <v>24834.948</v>
      </c>
      <c r="G16" s="48">
        <f>265.5+24607.7</f>
        <v>24873.2</v>
      </c>
      <c r="H16" s="61">
        <v>31876.941</v>
      </c>
      <c r="I16" s="66">
        <v>53487.847</v>
      </c>
      <c r="J16" s="124">
        <v>83723.993</v>
      </c>
    </row>
    <row r="17" spans="1:10" ht="12.75">
      <c r="A17" s="122"/>
      <c r="B17" s="2" t="s">
        <v>85</v>
      </c>
      <c r="C17" s="70">
        <v>32812.399</v>
      </c>
      <c r="D17" s="71">
        <v>29424.334</v>
      </c>
      <c r="E17" s="11">
        <v>21286.394</v>
      </c>
      <c r="F17" s="71">
        <v>38406.49</v>
      </c>
      <c r="G17" s="48">
        <f>16843.9+45196.3+8993.2-5.8-479.8</f>
        <v>70547.8</v>
      </c>
      <c r="H17" s="61">
        <v>101782</v>
      </c>
      <c r="I17" s="66">
        <v>164307.964</v>
      </c>
      <c r="J17" s="124">
        <v>245156.043</v>
      </c>
    </row>
    <row r="18" spans="1:10" ht="12.75">
      <c r="A18" s="122"/>
      <c r="B18" s="2" t="s">
        <v>86</v>
      </c>
      <c r="C18" s="70">
        <v>369370.647</v>
      </c>
      <c r="D18" s="71">
        <v>147318.419</v>
      </c>
      <c r="E18" s="11">
        <v>208520.567</v>
      </c>
      <c r="F18" s="71">
        <v>418030.962</v>
      </c>
      <c r="G18" s="48">
        <f>52369.3+561876.8</f>
        <v>614246.1000000001</v>
      </c>
      <c r="H18" s="61">
        <v>678102.126</v>
      </c>
      <c r="I18" s="66">
        <v>809175.407</v>
      </c>
      <c r="J18" s="124">
        <v>1228728.083</v>
      </c>
    </row>
    <row r="19" spans="1:10" ht="12.75">
      <c r="A19" s="122"/>
      <c r="B19" s="2" t="s">
        <v>87</v>
      </c>
      <c r="C19" s="70">
        <v>325.67</v>
      </c>
      <c r="D19" s="71">
        <v>293.684</v>
      </c>
      <c r="E19" s="11">
        <v>255.555</v>
      </c>
      <c r="F19" s="71">
        <v>205.384</v>
      </c>
      <c r="G19" s="48">
        <v>346</v>
      </c>
      <c r="H19" s="61">
        <v>326.049</v>
      </c>
      <c r="I19" s="66">
        <v>1772.792</v>
      </c>
      <c r="J19" s="124">
        <v>8116.526</v>
      </c>
    </row>
    <row r="20" spans="1:10" ht="12.75">
      <c r="A20" s="122"/>
      <c r="B20" s="2" t="s">
        <v>88</v>
      </c>
      <c r="C20" s="70">
        <v>61060.008</v>
      </c>
      <c r="D20" s="71">
        <v>43219.58</v>
      </c>
      <c r="E20" s="11">
        <v>21175.243</v>
      </c>
      <c r="F20" s="71">
        <v>17502.617</v>
      </c>
      <c r="G20" s="48">
        <v>14440.2</v>
      </c>
      <c r="H20" s="61">
        <v>20388.067</v>
      </c>
      <c r="I20" s="66">
        <v>20078.893</v>
      </c>
      <c r="J20" s="124">
        <v>18053.036</v>
      </c>
    </row>
    <row r="21" spans="1:10" ht="12.75">
      <c r="A21" s="122" t="s">
        <v>8</v>
      </c>
      <c r="B21" s="2"/>
      <c r="C21" s="70">
        <v>9040.103</v>
      </c>
      <c r="D21" s="71">
        <v>11050.079</v>
      </c>
      <c r="E21" s="11">
        <v>60777.933</v>
      </c>
      <c r="F21" s="71">
        <v>126570.658</v>
      </c>
      <c r="G21" s="48">
        <f>G22+G23</f>
        <v>118338.79999999999</v>
      </c>
      <c r="H21" s="61">
        <v>113747.031</v>
      </c>
      <c r="I21" s="108">
        <v>254569.54</v>
      </c>
      <c r="J21" s="124">
        <v>348921.942</v>
      </c>
    </row>
    <row r="22" spans="1:10" ht="24">
      <c r="A22" s="125"/>
      <c r="B22" s="35" t="s">
        <v>89</v>
      </c>
      <c r="C22" s="42">
        <v>68.64</v>
      </c>
      <c r="D22" s="43">
        <v>883.373</v>
      </c>
      <c r="E22" s="11">
        <v>56202.985</v>
      </c>
      <c r="F22" s="71">
        <v>39733.874</v>
      </c>
      <c r="G22" s="70">
        <f>237839.8-186187</f>
        <v>51652.79999999999</v>
      </c>
      <c r="H22" s="81">
        <v>92335.88</v>
      </c>
      <c r="I22" s="110">
        <v>220237.021</v>
      </c>
      <c r="J22" s="126">
        <v>317401.964</v>
      </c>
    </row>
    <row r="23" spans="1:10" ht="12.75">
      <c r="A23" s="122"/>
      <c r="B23" s="2" t="s">
        <v>90</v>
      </c>
      <c r="C23" s="70">
        <v>8971.463</v>
      </c>
      <c r="D23" s="71">
        <v>10166.706</v>
      </c>
      <c r="E23" s="11">
        <v>4574.948</v>
      </c>
      <c r="F23" s="71">
        <v>86836.784</v>
      </c>
      <c r="G23" s="48">
        <v>66686</v>
      </c>
      <c r="H23" s="79">
        <v>21411.151</v>
      </c>
      <c r="I23" s="66">
        <v>34332.519</v>
      </c>
      <c r="J23" s="124">
        <v>31519.978</v>
      </c>
    </row>
    <row r="24" spans="1:10" ht="12.75">
      <c r="A24" s="122" t="s">
        <v>91</v>
      </c>
      <c r="B24" s="2"/>
      <c r="C24" s="70">
        <v>9386.218</v>
      </c>
      <c r="D24" s="71">
        <v>4627.313</v>
      </c>
      <c r="E24" s="11">
        <v>10484.798</v>
      </c>
      <c r="F24" s="71">
        <v>8150.994</v>
      </c>
      <c r="G24" s="48">
        <f>7034.1+1924.8</f>
        <v>8958.9</v>
      </c>
      <c r="H24" s="79">
        <v>9801.483</v>
      </c>
      <c r="I24" s="66">
        <v>9339.765</v>
      </c>
      <c r="J24" s="124">
        <v>19093.976</v>
      </c>
    </row>
    <row r="25" spans="1:10" ht="12.75">
      <c r="A25" s="122" t="s">
        <v>92</v>
      </c>
      <c r="B25" s="2"/>
      <c r="C25" s="70">
        <v>48650.931</v>
      </c>
      <c r="D25" s="71">
        <v>50380.981</v>
      </c>
      <c r="E25" s="11">
        <v>70827.25</v>
      </c>
      <c r="F25" s="71">
        <v>81241.958</v>
      </c>
      <c r="G25" s="48">
        <f>2247.9+89718.8</f>
        <v>91966.7</v>
      </c>
      <c r="H25" s="61">
        <v>99283</v>
      </c>
      <c r="I25" s="66">
        <v>112627.76</v>
      </c>
      <c r="J25" s="124">
        <v>123824.679</v>
      </c>
    </row>
    <row r="26" spans="1:10" ht="12.75">
      <c r="A26" s="122" t="s">
        <v>9</v>
      </c>
      <c r="B26" s="2"/>
      <c r="C26" s="70">
        <v>59033.146</v>
      </c>
      <c r="D26" s="71">
        <v>30840.447</v>
      </c>
      <c r="E26" s="11">
        <v>23271.091</v>
      </c>
      <c r="F26" s="71">
        <v>21768.552</v>
      </c>
      <c r="G26" s="48">
        <f>0.5-0.2+49973.4</f>
        <v>49973.700000000004</v>
      </c>
      <c r="H26" s="79">
        <v>30104.479</v>
      </c>
      <c r="I26" s="66">
        <v>24463.489</v>
      </c>
      <c r="J26" s="124">
        <v>20649.234</v>
      </c>
    </row>
    <row r="27" spans="1:10" ht="12.75">
      <c r="A27" s="122" t="s">
        <v>93</v>
      </c>
      <c r="B27" s="2"/>
      <c r="C27" s="70">
        <v>39246.938</v>
      </c>
      <c r="D27" s="71">
        <v>18511.344</v>
      </c>
      <c r="E27" s="11">
        <v>11286.86</v>
      </c>
      <c r="F27" s="71">
        <v>19903.894</v>
      </c>
      <c r="G27" s="48">
        <f>21636.1-7.1</f>
        <v>21629</v>
      </c>
      <c r="H27" s="61">
        <v>18544</v>
      </c>
      <c r="I27" s="66">
        <v>19082.035</v>
      </c>
      <c r="J27" s="124">
        <v>26193.798</v>
      </c>
    </row>
    <row r="28" spans="1:10" ht="12.75">
      <c r="A28" s="127" t="s">
        <v>10</v>
      </c>
      <c r="B28" s="86"/>
      <c r="C28" s="72">
        <v>1102140.329</v>
      </c>
      <c r="D28" s="73">
        <v>835043.933</v>
      </c>
      <c r="E28" s="33">
        <v>1137304.115</v>
      </c>
      <c r="F28" s="73">
        <v>1690709.008</v>
      </c>
      <c r="G28" s="50">
        <f>G4+G5+G8+G13+G14+G21+G24+G25+G26+G27</f>
        <v>1685762.4</v>
      </c>
      <c r="H28" s="50">
        <f>SUM(H4:H5,H8,H13:H14,H21,H24:H27)</f>
        <v>1962186.252</v>
      </c>
      <c r="I28" s="88">
        <v>2698515.652</v>
      </c>
      <c r="J28" s="128">
        <v>3458495.099</v>
      </c>
    </row>
    <row r="29" spans="1:10" ht="12.75">
      <c r="A29" s="129" t="s">
        <v>11</v>
      </c>
      <c r="B29" s="112"/>
      <c r="C29" s="113" t="s">
        <v>12</v>
      </c>
      <c r="D29" s="113" t="s">
        <v>12</v>
      </c>
      <c r="E29" s="113" t="s">
        <v>12</v>
      </c>
      <c r="F29" s="114">
        <v>156856.365</v>
      </c>
      <c r="G29" s="48">
        <v>114246.9</v>
      </c>
      <c r="H29" s="79">
        <v>92924.993</v>
      </c>
      <c r="I29" s="66">
        <v>161817.815</v>
      </c>
      <c r="J29" s="130">
        <v>209094.227</v>
      </c>
    </row>
    <row r="30" spans="1:10" ht="12.75">
      <c r="A30" s="270"/>
      <c r="B30" s="268"/>
      <c r="C30" s="268" t="s">
        <v>13</v>
      </c>
      <c r="D30" s="268"/>
      <c r="E30" s="268"/>
      <c r="F30" s="268"/>
      <c r="G30" s="268"/>
      <c r="H30" s="268"/>
      <c r="I30" s="268"/>
      <c r="J30" s="269"/>
    </row>
    <row r="31" spans="1:10" ht="12.75" customHeight="1">
      <c r="A31" s="122" t="s">
        <v>4</v>
      </c>
      <c r="B31" s="2"/>
      <c r="C31" s="75">
        <f aca="true" t="shared" si="0" ref="C31:C38">C4/$C$28*100</f>
        <v>3.9078992816712366</v>
      </c>
      <c r="D31" s="76">
        <f aca="true" t="shared" si="1" ref="D31:D38">D4/$D$28*100</f>
        <v>4.59620128753154</v>
      </c>
      <c r="E31" s="13">
        <f aca="true" t="shared" si="2" ref="E31:E38">E4/$E$28*100</f>
        <v>3.836326223087657</v>
      </c>
      <c r="F31" s="76">
        <f aca="true" t="shared" si="3" ref="F31:F38">F4/$F$28*100</f>
        <v>3.6210389079561827</v>
      </c>
      <c r="G31" s="75">
        <f aca="true" t="shared" si="4" ref="G31:G38">G4/$G$28*100</f>
        <v>3.7683246464626334</v>
      </c>
      <c r="H31" s="118">
        <f aca="true" t="shared" si="5" ref="H31:H38">H4/$H$28*100</f>
        <v>4.53657240281184</v>
      </c>
      <c r="I31" s="118">
        <f>I4/$I$28*100</f>
        <v>3.3303854262765644</v>
      </c>
      <c r="J31" s="132">
        <f>J4/$J$28*100</f>
        <v>3.5122075793926113</v>
      </c>
    </row>
    <row r="32" spans="1:10" ht="12.75" customHeight="1">
      <c r="A32" s="122" t="s">
        <v>5</v>
      </c>
      <c r="B32" s="2"/>
      <c r="C32" s="75">
        <f t="shared" si="0"/>
        <v>3.469844628106337</v>
      </c>
      <c r="D32" s="76">
        <f t="shared" si="1"/>
        <v>5.725993101730613</v>
      </c>
      <c r="E32" s="13">
        <f t="shared" si="2"/>
        <v>4.667850428027336</v>
      </c>
      <c r="F32" s="76">
        <f t="shared" si="3"/>
        <v>4.763157031691879</v>
      </c>
      <c r="G32" s="75">
        <f t="shared" si="4"/>
        <v>5.675141407828291</v>
      </c>
      <c r="H32" s="118">
        <f t="shared" si="5"/>
        <v>4.879251391269048</v>
      </c>
      <c r="I32" s="118">
        <f aca="true" t="shared" si="6" ref="I32:I55">I5/$I$28*100</f>
        <v>2.981180781381661</v>
      </c>
      <c r="J32" s="132">
        <f aca="true" t="shared" si="7" ref="J32:J55">J5/$J$28*100</f>
        <v>2.3833382624666255</v>
      </c>
    </row>
    <row r="33" spans="1:10" ht="12.75" customHeight="1">
      <c r="A33" s="122"/>
      <c r="B33" s="2" t="s">
        <v>77</v>
      </c>
      <c r="C33" s="75">
        <f t="shared" si="0"/>
        <v>3.469844628106337</v>
      </c>
      <c r="D33" s="76">
        <f t="shared" si="1"/>
        <v>5.725993101730613</v>
      </c>
      <c r="E33" s="13">
        <f t="shared" si="2"/>
        <v>4.640962281227655</v>
      </c>
      <c r="F33" s="76">
        <f t="shared" si="3"/>
        <v>4.7082776884335376</v>
      </c>
      <c r="G33" s="75">
        <f t="shared" si="4"/>
        <v>4.933637148390544</v>
      </c>
      <c r="H33" s="118">
        <f t="shared" si="5"/>
        <v>4.828287829630558</v>
      </c>
      <c r="I33" s="118">
        <f t="shared" si="6"/>
        <v>2.981180781381661</v>
      </c>
      <c r="J33" s="132">
        <f t="shared" si="7"/>
        <v>1.7472234388151147</v>
      </c>
    </row>
    <row r="34" spans="1:10" ht="12.75" customHeight="1">
      <c r="A34" s="122"/>
      <c r="B34" s="2" t="s">
        <v>78</v>
      </c>
      <c r="C34" s="75">
        <f t="shared" si="0"/>
        <v>0</v>
      </c>
      <c r="D34" s="76">
        <f t="shared" si="1"/>
        <v>0</v>
      </c>
      <c r="E34" s="13">
        <f t="shared" si="2"/>
        <v>0.026888146799679876</v>
      </c>
      <c r="F34" s="76">
        <f t="shared" si="3"/>
        <v>0.05487934325834029</v>
      </c>
      <c r="G34" s="75">
        <f t="shared" si="4"/>
        <v>0.7415042594377477</v>
      </c>
      <c r="H34" s="118">
        <f t="shared" si="5"/>
        <v>0.05096356163849016</v>
      </c>
      <c r="I34" s="118">
        <f t="shared" si="6"/>
        <v>0</v>
      </c>
      <c r="J34" s="132">
        <f t="shared" si="7"/>
        <v>0.6361148236515111</v>
      </c>
    </row>
    <row r="35" spans="1:10" ht="12.75" customHeight="1">
      <c r="A35" s="122" t="s">
        <v>6</v>
      </c>
      <c r="B35" s="2"/>
      <c r="C35" s="75">
        <f t="shared" si="0"/>
        <v>24.090152044513385</v>
      </c>
      <c r="D35" s="76">
        <f t="shared" si="1"/>
        <v>30.059484546904674</v>
      </c>
      <c r="E35" s="13">
        <f t="shared" si="2"/>
        <v>33.53992085045785</v>
      </c>
      <c r="F35" s="76">
        <f t="shared" si="3"/>
        <v>28.98272775985588</v>
      </c>
      <c r="G35" s="75">
        <f t="shared" si="4"/>
        <v>18.798070238130833</v>
      </c>
      <c r="H35" s="118">
        <f t="shared" si="5"/>
        <v>22.416781258744646</v>
      </c>
      <c r="I35" s="118">
        <f t="shared" si="6"/>
        <v>28.317721760614788</v>
      </c>
      <c r="J35" s="132">
        <f t="shared" si="7"/>
        <v>24.16927857557736</v>
      </c>
    </row>
    <row r="36" spans="1:10" ht="12.75" customHeight="1">
      <c r="A36" s="122"/>
      <c r="B36" s="2" t="s">
        <v>79</v>
      </c>
      <c r="C36" s="75">
        <f t="shared" si="0"/>
        <v>5.1587137775447465</v>
      </c>
      <c r="D36" s="76">
        <f t="shared" si="1"/>
        <v>1.6461781777893596</v>
      </c>
      <c r="E36" s="13">
        <f t="shared" si="2"/>
        <v>1.8661468572985864</v>
      </c>
      <c r="F36" s="76">
        <f t="shared" si="3"/>
        <v>2.870127844022228</v>
      </c>
      <c r="G36" s="75">
        <f t="shared" si="4"/>
        <v>1.6515969273012614</v>
      </c>
      <c r="H36" s="118">
        <f t="shared" si="5"/>
        <v>1.0156528198934704</v>
      </c>
      <c r="I36" s="118">
        <f t="shared" si="6"/>
        <v>1.3235167627628792</v>
      </c>
      <c r="J36" s="132">
        <f t="shared" si="7"/>
        <v>2.8658235493425517</v>
      </c>
    </row>
    <row r="37" spans="1:10" ht="12.75" customHeight="1">
      <c r="A37" s="122"/>
      <c r="B37" s="2" t="s">
        <v>80</v>
      </c>
      <c r="C37" s="75">
        <f t="shared" si="0"/>
        <v>11.645064573260889</v>
      </c>
      <c r="D37" s="76">
        <f t="shared" si="1"/>
        <v>19.570652937131154</v>
      </c>
      <c r="E37" s="13">
        <f t="shared" si="2"/>
        <v>20.05331581869815</v>
      </c>
      <c r="F37" s="76">
        <f t="shared" si="3"/>
        <v>17.69481741591336</v>
      </c>
      <c r="G37" s="75">
        <f t="shared" si="4"/>
        <v>14.207862270507398</v>
      </c>
      <c r="H37" s="118">
        <f t="shared" si="5"/>
        <v>19.331600127835365</v>
      </c>
      <c r="I37" s="118">
        <f t="shared" si="6"/>
        <v>24.413609108093475</v>
      </c>
      <c r="J37" s="132">
        <f t="shared" si="7"/>
        <v>20.054992190116156</v>
      </c>
    </row>
    <row r="38" spans="1:10" ht="12.75" customHeight="1">
      <c r="A38" s="122"/>
      <c r="B38" s="2" t="s">
        <v>81</v>
      </c>
      <c r="C38" s="75">
        <f t="shared" si="0"/>
        <v>7.286164827382885</v>
      </c>
      <c r="D38" s="76">
        <f t="shared" si="1"/>
        <v>8.84265127640895</v>
      </c>
      <c r="E38" s="13">
        <f t="shared" si="2"/>
        <v>11.620288123199133</v>
      </c>
      <c r="F38" s="76">
        <f t="shared" si="3"/>
        <v>8.417565431224107</v>
      </c>
      <c r="G38" s="75">
        <f t="shared" si="4"/>
        <v>2.9386110403221712</v>
      </c>
      <c r="H38" s="118">
        <f t="shared" si="5"/>
        <v>2.0692864379522726</v>
      </c>
      <c r="I38" s="118">
        <f t="shared" si="6"/>
        <v>2.580603894158921</v>
      </c>
      <c r="J38" s="132">
        <f t="shared" si="7"/>
        <v>1.240619135542687</v>
      </c>
    </row>
    <row r="39" spans="1:10" ht="12.75" customHeight="1">
      <c r="A39" s="122"/>
      <c r="B39" s="2" t="s">
        <v>73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32">
        <f t="shared" si="7"/>
        <v>0.007843700575965454</v>
      </c>
    </row>
    <row r="40" spans="1:10" ht="12.75" customHeight="1">
      <c r="A40" s="122" t="s">
        <v>82</v>
      </c>
      <c r="B40" s="2"/>
      <c r="C40" s="75">
        <f aca="true" t="shared" si="8" ref="C40:C55">C13/$C$28*100</f>
        <v>9.17522926429453</v>
      </c>
      <c r="D40" s="76">
        <f aca="true" t="shared" si="9" ref="D40:D55">D13/$D$28*100</f>
        <v>16.004141425215288</v>
      </c>
      <c r="E40" s="13">
        <f aca="true" t="shared" si="10" ref="E40:E48">E13/$E$28*100</f>
        <v>17.128792592120355</v>
      </c>
      <c r="F40" s="76">
        <f aca="true" t="shared" si="11" ref="F40:F55">F13/$F$28*100</f>
        <v>17.72460030567247</v>
      </c>
      <c r="G40" s="75">
        <f aca="true" t="shared" si="12" ref="G40:G55">G13/$G$28*100</f>
        <v>11.044676284154873</v>
      </c>
      <c r="H40" s="118">
        <f aca="true" t="shared" si="13" ref="H40:H55">H13/$H$28*100</f>
        <v>10.98418963950625</v>
      </c>
      <c r="I40" s="118">
        <f t="shared" si="6"/>
        <v>9.532226756193001</v>
      </c>
      <c r="J40" s="132">
        <f t="shared" si="7"/>
        <v>7.062989739977654</v>
      </c>
    </row>
    <row r="41" spans="1:10" ht="12.75" customHeight="1">
      <c r="A41" s="122" t="s">
        <v>7</v>
      </c>
      <c r="B41" s="2"/>
      <c r="C41" s="75">
        <f t="shared" si="8"/>
        <v>44.35358240121163</v>
      </c>
      <c r="D41" s="76">
        <f t="shared" si="9"/>
        <v>29.793330286970665</v>
      </c>
      <c r="E41" s="13">
        <f t="shared" si="10"/>
        <v>25.294946637909593</v>
      </c>
      <c r="F41" s="76">
        <f t="shared" si="11"/>
        <v>29.670131916633167</v>
      </c>
      <c r="G41" s="75">
        <f t="shared" si="12"/>
        <v>43.45945193699896</v>
      </c>
      <c r="H41" s="118">
        <f t="shared" si="13"/>
        <v>43.34761795079583</v>
      </c>
      <c r="I41" s="118">
        <f t="shared" si="6"/>
        <v>40.271312682384256</v>
      </c>
      <c r="J41" s="132">
        <f t="shared" si="7"/>
        <v>47.29652031234525</v>
      </c>
    </row>
    <row r="42" spans="1:10" ht="12.75" customHeight="1">
      <c r="A42" s="122"/>
      <c r="B42" s="2" t="s">
        <v>83</v>
      </c>
      <c r="C42" s="75">
        <f t="shared" si="8"/>
        <v>0.6953123661624037</v>
      </c>
      <c r="D42" s="76">
        <f t="shared" si="9"/>
        <v>2.269148274860887</v>
      </c>
      <c r="E42" s="13">
        <f t="shared" si="10"/>
        <v>2.1709456313714295</v>
      </c>
      <c r="F42" s="76">
        <f t="shared" si="11"/>
        <v>0.15704606691253875</v>
      </c>
      <c r="G42" s="75">
        <f t="shared" si="12"/>
        <v>0.4846353199003608</v>
      </c>
      <c r="H42" s="118">
        <f t="shared" si="13"/>
        <v>0.9217473102548269</v>
      </c>
      <c r="I42" s="118">
        <f t="shared" si="6"/>
        <v>1.4046527012695647</v>
      </c>
      <c r="J42" s="132">
        <f t="shared" si="7"/>
        <v>1.5026812099582507</v>
      </c>
    </row>
    <row r="43" spans="1:10" ht="12.75" customHeight="1">
      <c r="A43" s="122"/>
      <c r="B43" s="2" t="s">
        <v>84</v>
      </c>
      <c r="C43" s="75">
        <f t="shared" si="8"/>
        <v>1.5974986611709405</v>
      </c>
      <c r="D43" s="76">
        <f t="shared" si="9"/>
        <v>1.1476036914096113</v>
      </c>
      <c r="E43" s="13">
        <f t="shared" si="10"/>
        <v>1.0333608966147105</v>
      </c>
      <c r="F43" s="76">
        <f t="shared" si="11"/>
        <v>1.4689072976181838</v>
      </c>
      <c r="G43" s="75">
        <f t="shared" si="12"/>
        <v>1.4754866996677587</v>
      </c>
      <c r="H43" s="118">
        <f t="shared" si="13"/>
        <v>1.6245624475000144</v>
      </c>
      <c r="I43" s="118">
        <f t="shared" si="6"/>
        <v>1.9821210583069098</v>
      </c>
      <c r="J43" s="132">
        <f t="shared" si="7"/>
        <v>2.420821501936152</v>
      </c>
    </row>
    <row r="44" spans="1:10" ht="12.75" customHeight="1">
      <c r="A44" s="122"/>
      <c r="B44" s="2" t="s">
        <v>85</v>
      </c>
      <c r="C44" s="75">
        <f t="shared" si="8"/>
        <v>2.9771525582201974</v>
      </c>
      <c r="D44" s="76">
        <f t="shared" si="9"/>
        <v>3.5236869387565504</v>
      </c>
      <c r="E44" s="13">
        <f t="shared" si="10"/>
        <v>1.8716536517587472</v>
      </c>
      <c r="F44" s="76">
        <f t="shared" si="11"/>
        <v>2.271620356801222</v>
      </c>
      <c r="G44" s="75">
        <f t="shared" si="12"/>
        <v>4.184919535516986</v>
      </c>
      <c r="H44" s="118">
        <f t="shared" si="13"/>
        <v>5.187173230688806</v>
      </c>
      <c r="I44" s="118">
        <f t="shared" si="6"/>
        <v>6.0888275329521795</v>
      </c>
      <c r="J44" s="132">
        <f t="shared" si="7"/>
        <v>7.088517866365784</v>
      </c>
    </row>
    <row r="45" spans="1:10" ht="12.75" customHeight="1">
      <c r="A45" s="122"/>
      <c r="B45" s="2" t="s">
        <v>86</v>
      </c>
      <c r="C45" s="75">
        <f t="shared" si="8"/>
        <v>33.513939856927244</v>
      </c>
      <c r="D45" s="76">
        <f t="shared" si="9"/>
        <v>17.641996208599483</v>
      </c>
      <c r="E45" s="13">
        <f t="shared" si="10"/>
        <v>18.334635762748473</v>
      </c>
      <c r="F45" s="76">
        <f t="shared" si="11"/>
        <v>24.725186890351033</v>
      </c>
      <c r="G45" s="75">
        <f t="shared" si="12"/>
        <v>36.437287959441974</v>
      </c>
      <c r="H45" s="118">
        <f t="shared" si="13"/>
        <v>34.55849949559223</v>
      </c>
      <c r="I45" s="118">
        <f t="shared" si="6"/>
        <v>29.98594454696904</v>
      </c>
      <c r="J45" s="132">
        <f t="shared" si="7"/>
        <v>35.527824901509284</v>
      </c>
    </row>
    <row r="46" spans="1:10" ht="12.75" customHeight="1">
      <c r="A46" s="122"/>
      <c r="B46" s="2" t="s">
        <v>87</v>
      </c>
      <c r="C46" s="75">
        <f t="shared" si="8"/>
        <v>0.02954886881741173</v>
      </c>
      <c r="D46" s="76">
        <f t="shared" si="9"/>
        <v>0.035169886085502526</v>
      </c>
      <c r="E46" s="13">
        <f t="shared" si="10"/>
        <v>0.022470243150399576</v>
      </c>
      <c r="F46" s="76">
        <f t="shared" si="11"/>
        <v>0.012147803023948873</v>
      </c>
      <c r="G46" s="75">
        <f t="shared" si="12"/>
        <v>0.020524837901236857</v>
      </c>
      <c r="H46" s="118">
        <f t="shared" si="13"/>
        <v>0.016616618308668077</v>
      </c>
      <c r="I46" s="118">
        <f t="shared" si="6"/>
        <v>0.06569507939248373</v>
      </c>
      <c r="J46" s="132">
        <f t="shared" si="7"/>
        <v>0.23468375023422292</v>
      </c>
    </row>
    <row r="47" spans="1:10" ht="12.75" customHeight="1">
      <c r="A47" s="122"/>
      <c r="B47" s="2" t="s">
        <v>88</v>
      </c>
      <c r="C47" s="75">
        <f t="shared" si="8"/>
        <v>5.540130089913442</v>
      </c>
      <c r="D47" s="76">
        <f t="shared" si="9"/>
        <v>5.175725287258629</v>
      </c>
      <c r="E47" s="13">
        <f t="shared" si="10"/>
        <v>1.8618804522658392</v>
      </c>
      <c r="F47" s="76">
        <f t="shared" si="11"/>
        <v>1.0352235019262404</v>
      </c>
      <c r="G47" s="75">
        <f t="shared" si="12"/>
        <v>0.8565975845706372</v>
      </c>
      <c r="H47" s="118">
        <f t="shared" si="13"/>
        <v>1.0390485092441673</v>
      </c>
      <c r="I47" s="118">
        <f t="shared" si="6"/>
        <v>0.7440717634940738</v>
      </c>
      <c r="J47" s="132">
        <f t="shared" si="7"/>
        <v>0.5219910823415627</v>
      </c>
    </row>
    <row r="48" spans="1:10" ht="12.75" customHeight="1">
      <c r="A48" s="122" t="s">
        <v>8</v>
      </c>
      <c r="B48" s="2"/>
      <c r="C48" s="75">
        <f t="shared" si="8"/>
        <v>0.8202315768811687</v>
      </c>
      <c r="D48" s="76">
        <f t="shared" si="9"/>
        <v>1.3232931302549802</v>
      </c>
      <c r="E48" s="13">
        <f t="shared" si="10"/>
        <v>5.344035267119384</v>
      </c>
      <c r="F48" s="76">
        <f t="shared" si="11"/>
        <v>7.486247331805782</v>
      </c>
      <c r="G48" s="75">
        <f t="shared" si="12"/>
        <v>7.019897940540138</v>
      </c>
      <c r="H48" s="118">
        <f t="shared" si="13"/>
        <v>5.796953825563752</v>
      </c>
      <c r="I48" s="118">
        <f t="shared" si="6"/>
        <v>9.433687731673013</v>
      </c>
      <c r="J48" s="132">
        <f t="shared" si="7"/>
        <v>10.088837254703305</v>
      </c>
    </row>
    <row r="49" spans="1:10" ht="24">
      <c r="A49" s="125"/>
      <c r="B49" s="35" t="s">
        <v>89</v>
      </c>
      <c r="C49" s="45">
        <f t="shared" si="8"/>
        <v>0.006227882075804161</v>
      </c>
      <c r="D49" s="46">
        <f t="shared" si="9"/>
        <v>0.10578760770422843</v>
      </c>
      <c r="E49" s="37">
        <f aca="true" t="shared" si="14" ref="E49:E55">E22/$E$28*100</f>
        <v>4.9417727640948526</v>
      </c>
      <c r="F49" s="76">
        <f t="shared" si="11"/>
        <v>2.3501308511393466</v>
      </c>
      <c r="G49" s="75">
        <f t="shared" si="12"/>
        <v>3.0640616969508865</v>
      </c>
      <c r="H49" s="85">
        <f t="shared" si="13"/>
        <v>4.705765311824232</v>
      </c>
      <c r="I49" s="118">
        <f t="shared" si="6"/>
        <v>8.161413510304147</v>
      </c>
      <c r="J49" s="132">
        <f t="shared" si="7"/>
        <v>9.177458834386512</v>
      </c>
    </row>
    <row r="50" spans="1:10" ht="12.75">
      <c r="A50" s="122"/>
      <c r="B50" s="2" t="s">
        <v>90</v>
      </c>
      <c r="C50" s="75">
        <f t="shared" si="8"/>
        <v>0.8140036948053646</v>
      </c>
      <c r="D50" s="76">
        <f t="shared" si="9"/>
        <v>1.217505522550752</v>
      </c>
      <c r="E50" s="13">
        <f t="shared" si="14"/>
        <v>0.40226250302453187</v>
      </c>
      <c r="F50" s="76">
        <f t="shared" si="11"/>
        <v>5.136116480666435</v>
      </c>
      <c r="G50" s="75">
        <f t="shared" si="12"/>
        <v>3.955836243589251</v>
      </c>
      <c r="H50" s="118">
        <f t="shared" si="13"/>
        <v>1.0911885137395205</v>
      </c>
      <c r="I50" s="118">
        <f t="shared" si="6"/>
        <v>1.272274221368867</v>
      </c>
      <c r="J50" s="132">
        <f t="shared" si="7"/>
        <v>0.9113784203167958</v>
      </c>
    </row>
    <row r="51" spans="1:10" ht="12.75">
      <c r="A51" s="122" t="s">
        <v>91</v>
      </c>
      <c r="B51" s="2"/>
      <c r="C51" s="75">
        <f t="shared" si="8"/>
        <v>0.8516354726368063</v>
      </c>
      <c r="D51" s="76">
        <f t="shared" si="9"/>
        <v>0.5541400658257343</v>
      </c>
      <c r="E51" s="13">
        <f t="shared" si="14"/>
        <v>0.921899240644179</v>
      </c>
      <c r="F51" s="76">
        <f t="shared" si="11"/>
        <v>0.4821050790781615</v>
      </c>
      <c r="G51" s="75">
        <f t="shared" si="12"/>
        <v>0.531445000790147</v>
      </c>
      <c r="H51" s="118">
        <f t="shared" si="13"/>
        <v>0.4995184830191135</v>
      </c>
      <c r="I51" s="118">
        <f t="shared" si="6"/>
        <v>0.34610749776744304</v>
      </c>
      <c r="J51" s="132">
        <f t="shared" si="7"/>
        <v>0.5520891443657355</v>
      </c>
    </row>
    <row r="52" spans="1:10" ht="12.75">
      <c r="A52" s="122" t="s">
        <v>92</v>
      </c>
      <c r="B52" s="2"/>
      <c r="C52" s="75">
        <f t="shared" si="8"/>
        <v>4.414222918794944</v>
      </c>
      <c r="D52" s="76">
        <f t="shared" si="9"/>
        <v>6.0333329791403925</v>
      </c>
      <c r="E52" s="13">
        <f t="shared" si="14"/>
        <v>6.227643869907215</v>
      </c>
      <c r="F52" s="76">
        <f t="shared" si="11"/>
        <v>4.805200517391459</v>
      </c>
      <c r="G52" s="75">
        <f t="shared" si="12"/>
        <v>5.45549598211468</v>
      </c>
      <c r="H52" s="118">
        <f t="shared" si="13"/>
        <v>5.059815290154219</v>
      </c>
      <c r="I52" s="118">
        <f t="shared" si="6"/>
        <v>4.173693041821942</v>
      </c>
      <c r="J52" s="132">
        <f t="shared" si="7"/>
        <v>3.5803051748086343</v>
      </c>
    </row>
    <row r="53" spans="1:10" ht="12.75">
      <c r="A53" s="122" t="s">
        <v>9</v>
      </c>
      <c r="B53" s="2"/>
      <c r="C53" s="75">
        <f t="shared" si="8"/>
        <v>5.35622773676763</v>
      </c>
      <c r="D53" s="76">
        <f t="shared" si="9"/>
        <v>3.693272387382282</v>
      </c>
      <c r="E53" s="13">
        <f t="shared" si="14"/>
        <v>2.0461625604862954</v>
      </c>
      <c r="F53" s="76">
        <f t="shared" si="11"/>
        <v>1.287539836660053</v>
      </c>
      <c r="G53" s="75">
        <f t="shared" si="12"/>
        <v>2.9644569127891334</v>
      </c>
      <c r="H53" s="118">
        <f t="shared" si="13"/>
        <v>1.5342314711111327</v>
      </c>
      <c r="I53" s="118">
        <f t="shared" si="6"/>
        <v>0.9065535336757796</v>
      </c>
      <c r="J53" s="132">
        <f t="shared" si="7"/>
        <v>0.5970583565658539</v>
      </c>
    </row>
    <row r="54" spans="1:10" ht="12.75">
      <c r="A54" s="122" t="s">
        <v>93</v>
      </c>
      <c r="B54" s="2"/>
      <c r="C54" s="75">
        <f t="shared" si="8"/>
        <v>3.5609746751223366</v>
      </c>
      <c r="D54" s="76">
        <f t="shared" si="9"/>
        <v>2.2168107890438384</v>
      </c>
      <c r="E54" s="13">
        <f t="shared" si="14"/>
        <v>0.9924223302401398</v>
      </c>
      <c r="F54" s="76">
        <f t="shared" si="11"/>
        <v>1.1772513132549656</v>
      </c>
      <c r="G54" s="75">
        <f t="shared" si="12"/>
        <v>1.2830396501903234</v>
      </c>
      <c r="H54" s="118">
        <f t="shared" si="13"/>
        <v>0.9450682870241617</v>
      </c>
      <c r="I54" s="118">
        <f t="shared" si="6"/>
        <v>0.7071307882115632</v>
      </c>
      <c r="J54" s="132">
        <f t="shared" si="7"/>
        <v>0.7573755997969682</v>
      </c>
    </row>
    <row r="55" spans="1:10" ht="13.5" thickBot="1">
      <c r="A55" s="133" t="s">
        <v>10</v>
      </c>
      <c r="B55" s="134"/>
      <c r="C55" s="135">
        <f t="shared" si="8"/>
        <v>100</v>
      </c>
      <c r="D55" s="136">
        <f t="shared" si="9"/>
        <v>100</v>
      </c>
      <c r="E55" s="137">
        <f t="shared" si="14"/>
        <v>100</v>
      </c>
      <c r="F55" s="136">
        <f t="shared" si="11"/>
        <v>100</v>
      </c>
      <c r="G55" s="135">
        <f t="shared" si="12"/>
        <v>100</v>
      </c>
      <c r="H55" s="138">
        <f t="shared" si="13"/>
        <v>100</v>
      </c>
      <c r="I55" s="138">
        <f t="shared" si="6"/>
        <v>100</v>
      </c>
      <c r="J55" s="220">
        <f t="shared" si="7"/>
        <v>100</v>
      </c>
    </row>
    <row r="56" spans="1:5" ht="12.75">
      <c r="A56" s="77"/>
      <c r="B56" s="77"/>
      <c r="C56" s="77"/>
      <c r="D56" s="77"/>
      <c r="E56" s="77"/>
    </row>
    <row r="57" spans="1:5" ht="12.75">
      <c r="A57" s="77"/>
      <c r="B57" s="77"/>
      <c r="C57" s="77"/>
      <c r="D57" s="77"/>
      <c r="E57" s="77"/>
    </row>
    <row r="58" spans="1:5" ht="12.75">
      <c r="A58" s="77"/>
      <c r="B58" s="77"/>
      <c r="C58" s="77"/>
      <c r="D58" s="77"/>
      <c r="E58" s="77"/>
    </row>
    <row r="59" spans="1:5" ht="12.75">
      <c r="A59" s="77"/>
      <c r="B59" s="77"/>
      <c r="C59" s="77"/>
      <c r="D59" s="77"/>
      <c r="E59" s="77"/>
    </row>
    <row r="60" spans="1:5" ht="12.75">
      <c r="A60" s="77"/>
      <c r="B60" s="77"/>
      <c r="C60" s="77"/>
      <c r="D60" s="77"/>
      <c r="E60" s="77"/>
    </row>
    <row r="61" spans="1:5" ht="12.75">
      <c r="A61" s="77"/>
      <c r="B61" s="77"/>
      <c r="C61" s="77"/>
      <c r="D61" s="77"/>
      <c r="E61" s="77"/>
    </row>
    <row r="62" spans="1:5" ht="12.75">
      <c r="A62" s="77"/>
      <c r="B62" s="77"/>
      <c r="C62" s="77"/>
      <c r="D62" s="77"/>
      <c r="E62" s="77"/>
    </row>
    <row r="63" spans="1:5" ht="12.75">
      <c r="A63" s="77"/>
      <c r="B63" s="77"/>
      <c r="C63" s="77"/>
      <c r="D63" s="77"/>
      <c r="E63" s="77"/>
    </row>
    <row r="64" spans="1:5" ht="12.75">
      <c r="A64" s="77"/>
      <c r="B64" s="77"/>
      <c r="C64" s="77"/>
      <c r="D64" s="77"/>
      <c r="E64" s="77"/>
    </row>
    <row r="65" spans="1:5" ht="12.75">
      <c r="A65" s="77"/>
      <c r="B65" s="77"/>
      <c r="C65" s="77"/>
      <c r="D65" s="77"/>
      <c r="E65" s="77"/>
    </row>
    <row r="66" spans="1:5" ht="12.75">
      <c r="A66" s="77"/>
      <c r="B66" s="77"/>
      <c r="C66" s="77"/>
      <c r="D66" s="77"/>
      <c r="E66" s="77"/>
    </row>
    <row r="67" spans="1:5" ht="12.75">
      <c r="A67" s="77"/>
      <c r="B67" s="77"/>
      <c r="C67" s="77"/>
      <c r="D67" s="77"/>
      <c r="E67" s="77"/>
    </row>
  </sheetData>
  <mergeCells count="4">
    <mergeCell ref="C3:J3"/>
    <mergeCell ref="A2:B3"/>
    <mergeCell ref="C30:J30"/>
    <mergeCell ref="A30:B30"/>
  </mergeCells>
  <printOptions/>
  <pageMargins left="0.54" right="0.24" top="0.31" bottom="0.23" header="0.17" footer="0.17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xSplit="2" ySplit="3" topLeftCell="C4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E42" sqref="E42"/>
    </sheetView>
  </sheetViews>
  <sheetFormatPr defaultColWidth="9.00390625" defaultRowHeight="12.75"/>
  <cols>
    <col min="1" max="1" width="3.875" style="69" customWidth="1"/>
    <col min="2" max="2" width="37.25390625" style="69" customWidth="1"/>
    <col min="3" max="3" width="9.125" style="69" customWidth="1"/>
    <col min="4" max="4" width="9.625" style="69" customWidth="1"/>
    <col min="5" max="5" width="8.75390625" style="69" customWidth="1"/>
    <col min="6" max="6" width="9.125" style="69" customWidth="1"/>
    <col min="7" max="8" width="9.125" style="78" customWidth="1"/>
    <col min="9" max="16384" width="9.125" style="69" customWidth="1"/>
  </cols>
  <sheetData>
    <row r="1" spans="1:8" s="84" customFormat="1" ht="26.25" customHeight="1" thickBot="1">
      <c r="A1" s="68"/>
      <c r="B1" s="63"/>
      <c r="C1" s="63"/>
      <c r="D1" s="63"/>
      <c r="E1" s="63"/>
      <c r="F1" s="63"/>
      <c r="G1" s="83"/>
      <c r="H1" s="83"/>
    </row>
    <row r="2" spans="1:10" ht="12.75" customHeight="1">
      <c r="A2" s="271" t="s">
        <v>174</v>
      </c>
      <c r="B2" s="272"/>
      <c r="C2" s="120" t="s">
        <v>0</v>
      </c>
      <c r="D2" s="120" t="s">
        <v>1</v>
      </c>
      <c r="E2" s="120" t="s">
        <v>2</v>
      </c>
      <c r="F2" s="120" t="s">
        <v>3</v>
      </c>
      <c r="G2" s="120" t="s">
        <v>66</v>
      </c>
      <c r="H2" s="147" t="s">
        <v>67</v>
      </c>
      <c r="I2" s="147" t="s">
        <v>72</v>
      </c>
      <c r="J2" s="209" t="s">
        <v>74</v>
      </c>
    </row>
    <row r="3" spans="1:10" ht="12.75">
      <c r="A3" s="273"/>
      <c r="B3" s="274"/>
      <c r="C3" s="275" t="s">
        <v>71</v>
      </c>
      <c r="D3" s="262"/>
      <c r="E3" s="262"/>
      <c r="F3" s="262"/>
      <c r="G3" s="262"/>
      <c r="H3" s="262"/>
      <c r="I3" s="262"/>
      <c r="J3" s="263"/>
    </row>
    <row r="4" spans="1:10" ht="12.75">
      <c r="A4" s="122" t="s">
        <v>14</v>
      </c>
      <c r="B4" s="2"/>
      <c r="C4" s="70">
        <v>1434.864</v>
      </c>
      <c r="D4" s="71">
        <v>3520.35</v>
      </c>
      <c r="E4" s="11">
        <v>4318.35</v>
      </c>
      <c r="F4" s="71">
        <v>6943.85</v>
      </c>
      <c r="G4" s="48">
        <v>54943.8</v>
      </c>
      <c r="H4" s="79">
        <v>63182</v>
      </c>
      <c r="I4" s="48">
        <v>42530.367</v>
      </c>
      <c r="J4" s="141">
        <v>18833.186</v>
      </c>
    </row>
    <row r="5" spans="1:10" ht="12.75">
      <c r="A5" s="122" t="s">
        <v>15</v>
      </c>
      <c r="B5" s="2"/>
      <c r="C5" s="70">
        <v>130448.051</v>
      </c>
      <c r="D5" s="71">
        <v>33416.75</v>
      </c>
      <c r="E5" s="11">
        <v>84794.601</v>
      </c>
      <c r="F5" s="71">
        <v>179817.374</v>
      </c>
      <c r="G5" s="48">
        <f>G6+G7+G8</f>
        <v>225401.59999999998</v>
      </c>
      <c r="H5" s="79">
        <v>239311</v>
      </c>
      <c r="I5" s="61">
        <v>309111</v>
      </c>
      <c r="J5" s="142">
        <v>520094.621</v>
      </c>
    </row>
    <row r="6" spans="1:10" ht="12.75">
      <c r="A6" s="122"/>
      <c r="B6" s="2" t="s">
        <v>79</v>
      </c>
      <c r="C6" s="70">
        <v>49439.806</v>
      </c>
      <c r="D6" s="71">
        <v>5343.703</v>
      </c>
      <c r="E6" s="11">
        <v>21237.29</v>
      </c>
      <c r="F6" s="71">
        <v>48366.677</v>
      </c>
      <c r="G6" s="48">
        <f>26997.4-5</f>
        <v>26992.4</v>
      </c>
      <c r="H6" s="79">
        <v>19163</v>
      </c>
      <c r="I6" s="48">
        <v>35819.327</v>
      </c>
      <c r="J6" s="142">
        <v>99867.741</v>
      </c>
    </row>
    <row r="7" spans="1:10" ht="12.75">
      <c r="A7" s="122"/>
      <c r="B7" s="2" t="s">
        <v>80</v>
      </c>
      <c r="C7" s="70">
        <v>4966.518</v>
      </c>
      <c r="D7" s="71">
        <v>8164.596</v>
      </c>
      <c r="E7" s="11">
        <v>17741.575</v>
      </c>
      <c r="F7" s="71">
        <v>63918.575</v>
      </c>
      <c r="G7" s="48">
        <f>1485+155009</f>
        <v>156494</v>
      </c>
      <c r="H7" s="79">
        <v>151200</v>
      </c>
      <c r="I7" s="48">
        <v>178023.83</v>
      </c>
      <c r="J7" s="142">
        <v>317720.916</v>
      </c>
    </row>
    <row r="8" spans="1:10" ht="12.75">
      <c r="A8" s="122"/>
      <c r="B8" s="2" t="s">
        <v>81</v>
      </c>
      <c r="C8" s="70">
        <v>76041.727</v>
      </c>
      <c r="D8" s="71">
        <v>19908.451</v>
      </c>
      <c r="E8" s="11">
        <v>45815.736</v>
      </c>
      <c r="F8" s="71">
        <v>67532.077</v>
      </c>
      <c r="G8" s="48">
        <v>41915.2</v>
      </c>
      <c r="H8" s="79">
        <v>65207.044</v>
      </c>
      <c r="I8" s="48">
        <v>93434.401</v>
      </c>
      <c r="J8" s="142">
        <v>100538.724</v>
      </c>
    </row>
    <row r="9" spans="1:10" ht="12.75">
      <c r="A9" s="122"/>
      <c r="B9" s="2" t="s">
        <v>73</v>
      </c>
      <c r="C9" s="11" t="s">
        <v>75</v>
      </c>
      <c r="D9" s="11" t="s">
        <v>75</v>
      </c>
      <c r="E9" s="11" t="s">
        <v>75</v>
      </c>
      <c r="F9" s="11" t="s">
        <v>75</v>
      </c>
      <c r="G9" s="11" t="s">
        <v>75</v>
      </c>
      <c r="H9" s="11" t="s">
        <v>75</v>
      </c>
      <c r="I9" s="11" t="s">
        <v>75</v>
      </c>
      <c r="J9" s="142">
        <v>1967.24</v>
      </c>
    </row>
    <row r="10" spans="1:10" ht="12.75">
      <c r="A10" s="122" t="s">
        <v>16</v>
      </c>
      <c r="B10" s="2"/>
      <c r="C10" s="70">
        <v>625069.94</v>
      </c>
      <c r="D10" s="71">
        <v>529927.341</v>
      </c>
      <c r="E10" s="11">
        <v>685962.991</v>
      </c>
      <c r="F10" s="71">
        <v>1080234.348</v>
      </c>
      <c r="G10" s="48">
        <f>SUM(G11:G15)</f>
        <v>1042409.2000000001</v>
      </c>
      <c r="H10" s="79">
        <v>1290750</v>
      </c>
      <c r="I10" s="48">
        <v>1864575.3</v>
      </c>
      <c r="J10" s="142">
        <v>2329716.714</v>
      </c>
    </row>
    <row r="11" spans="1:10" ht="12.75">
      <c r="A11" s="122"/>
      <c r="B11" s="2" t="s">
        <v>94</v>
      </c>
      <c r="C11" s="70">
        <v>30809.59</v>
      </c>
      <c r="D11" s="71">
        <v>62329.27</v>
      </c>
      <c r="E11" s="11">
        <v>32264.984</v>
      </c>
      <c r="F11" s="71">
        <v>77331.798</v>
      </c>
      <c r="G11" s="48">
        <f>35647.3+34487.1</f>
        <v>70134.4</v>
      </c>
      <c r="H11" s="61">
        <v>55027.539</v>
      </c>
      <c r="I11" s="48">
        <v>49820.189</v>
      </c>
      <c r="J11" s="142">
        <v>67519.531</v>
      </c>
    </row>
    <row r="12" spans="1:10" ht="12.75">
      <c r="A12" s="122"/>
      <c r="B12" s="2" t="s">
        <v>95</v>
      </c>
      <c r="C12" s="70">
        <v>55178.26</v>
      </c>
      <c r="D12" s="71">
        <v>49433.441</v>
      </c>
      <c r="E12" s="11">
        <v>54072.13</v>
      </c>
      <c r="F12" s="71">
        <v>76569.601</v>
      </c>
      <c r="G12" s="48">
        <f>231.1+65987.1</f>
        <v>66218.20000000001</v>
      </c>
      <c r="H12" s="61">
        <v>58558.085</v>
      </c>
      <c r="I12" s="48">
        <v>84876.169</v>
      </c>
      <c r="J12" s="142">
        <v>86151.937</v>
      </c>
    </row>
    <row r="13" spans="1:10" ht="12.75">
      <c r="A13" s="122"/>
      <c r="B13" s="2" t="s">
        <v>96</v>
      </c>
      <c r="C13" s="70">
        <v>216153.195</v>
      </c>
      <c r="D13" s="71">
        <v>237239.848</v>
      </c>
      <c r="E13" s="11">
        <v>408548.303</v>
      </c>
      <c r="F13" s="71">
        <v>654166.089</v>
      </c>
      <c r="G13" s="48">
        <f>41264.9+584616.4</f>
        <v>625881.3</v>
      </c>
      <c r="H13" s="61">
        <v>847326.764</v>
      </c>
      <c r="I13" s="48">
        <v>1197843.565</v>
      </c>
      <c r="J13" s="142">
        <v>1462288.426</v>
      </c>
    </row>
    <row r="14" spans="1:10" ht="12.75">
      <c r="A14" s="122"/>
      <c r="B14" s="2" t="s">
        <v>97</v>
      </c>
      <c r="C14" s="70">
        <v>318051.002</v>
      </c>
      <c r="D14" s="71">
        <v>174720.62</v>
      </c>
      <c r="E14" s="11">
        <v>181532.886</v>
      </c>
      <c r="F14" s="71">
        <v>260927.312</v>
      </c>
      <c r="G14" s="48">
        <f>268242.5-315.8</f>
        <v>267926.7</v>
      </c>
      <c r="H14" s="61">
        <v>317928</v>
      </c>
      <c r="I14" s="48">
        <v>517098.425</v>
      </c>
      <c r="J14" s="142">
        <v>696401.368</v>
      </c>
    </row>
    <row r="15" spans="1:10" ht="12.75">
      <c r="A15" s="122"/>
      <c r="B15" s="2" t="s">
        <v>98</v>
      </c>
      <c r="C15" s="70">
        <v>4877.893</v>
      </c>
      <c r="D15" s="71">
        <v>6204.162</v>
      </c>
      <c r="E15" s="11">
        <v>9544.688</v>
      </c>
      <c r="F15" s="71">
        <v>11239.548</v>
      </c>
      <c r="G15" s="48">
        <v>12248.6</v>
      </c>
      <c r="H15" s="61">
        <v>11909.663</v>
      </c>
      <c r="I15" s="48">
        <v>14936.952</v>
      </c>
      <c r="J15" s="142">
        <v>17355.452</v>
      </c>
    </row>
    <row r="16" spans="1:10" ht="12.75">
      <c r="A16" s="122" t="s">
        <v>17</v>
      </c>
      <c r="B16" s="2"/>
      <c r="C16" s="70">
        <v>61428.856</v>
      </c>
      <c r="D16" s="71">
        <v>43813.064</v>
      </c>
      <c r="E16" s="11">
        <v>21999.462</v>
      </c>
      <c r="F16" s="71">
        <v>19659.199</v>
      </c>
      <c r="G16" s="48">
        <v>16733.6</v>
      </c>
      <c r="H16" s="79">
        <v>22478.143</v>
      </c>
      <c r="I16" s="61">
        <v>22548</v>
      </c>
      <c r="J16" s="142">
        <v>21264.206</v>
      </c>
    </row>
    <row r="17" spans="1:10" ht="12.75">
      <c r="A17" s="122" t="s">
        <v>99</v>
      </c>
      <c r="B17" s="2"/>
      <c r="C17" s="70">
        <v>223.937</v>
      </c>
      <c r="D17" s="71">
        <v>205.096</v>
      </c>
      <c r="E17" s="11">
        <v>542.956</v>
      </c>
      <c r="F17" s="71">
        <v>5957.553</v>
      </c>
      <c r="G17" s="48">
        <v>1662.1</v>
      </c>
      <c r="H17" s="79">
        <v>3745</v>
      </c>
      <c r="I17" s="48">
        <v>10409.321</v>
      </c>
      <c r="J17" s="142">
        <v>24288.031</v>
      </c>
    </row>
    <row r="18" spans="1:10" ht="12.75">
      <c r="A18" s="122" t="s">
        <v>18</v>
      </c>
      <c r="B18" s="2"/>
      <c r="C18" s="70">
        <v>59919.339</v>
      </c>
      <c r="D18" s="71">
        <v>56772.242</v>
      </c>
      <c r="E18" s="11">
        <v>120557.251</v>
      </c>
      <c r="F18" s="71">
        <v>113950.726</v>
      </c>
      <c r="G18" s="48">
        <f>74213.2-0.3</f>
        <v>74212.9</v>
      </c>
      <c r="H18" s="79">
        <v>52440</v>
      </c>
      <c r="I18" s="48">
        <v>120458.95</v>
      </c>
      <c r="J18" s="142">
        <v>128025.799</v>
      </c>
    </row>
    <row r="19" spans="1:10" ht="12.75">
      <c r="A19" s="122" t="s">
        <v>19</v>
      </c>
      <c r="B19" s="2"/>
      <c r="C19" s="70">
        <v>25989.905</v>
      </c>
      <c r="D19" s="71">
        <v>6094.521</v>
      </c>
      <c r="E19" s="11">
        <v>6435.398</v>
      </c>
      <c r="F19" s="71">
        <v>9546.465</v>
      </c>
      <c r="G19" s="48">
        <f>8937.6-13.5</f>
        <v>8924.1</v>
      </c>
      <c r="H19" s="61">
        <v>9962</v>
      </c>
      <c r="I19" s="48">
        <v>18292.62</v>
      </c>
      <c r="J19" s="142">
        <v>23600.706</v>
      </c>
    </row>
    <row r="20" spans="1:10" ht="12.75">
      <c r="A20" s="122" t="s">
        <v>20</v>
      </c>
      <c r="B20" s="2"/>
      <c r="C20" s="70">
        <v>70656.091</v>
      </c>
      <c r="D20" s="71">
        <v>55080.623</v>
      </c>
      <c r="E20" s="11">
        <v>54575.929</v>
      </c>
      <c r="F20" s="71">
        <v>46160.878</v>
      </c>
      <c r="G20" s="48">
        <f>58606.7-47.9</f>
        <v>58558.799999999996</v>
      </c>
      <c r="H20" s="61">
        <v>69838</v>
      </c>
      <c r="I20" s="48">
        <v>59074.249</v>
      </c>
      <c r="J20" s="142">
        <v>56628.633</v>
      </c>
    </row>
    <row r="21" spans="1:10" ht="12.75">
      <c r="A21" s="122"/>
      <c r="B21" s="2" t="s">
        <v>100</v>
      </c>
      <c r="C21" s="70">
        <v>68302.974</v>
      </c>
      <c r="D21" s="71">
        <v>49739.691</v>
      </c>
      <c r="E21" s="11">
        <v>51918.21</v>
      </c>
      <c r="F21" s="71">
        <v>39225.538</v>
      </c>
      <c r="G21" s="48">
        <f>44667.2-47.3</f>
        <v>44619.899999999994</v>
      </c>
      <c r="H21" s="79">
        <v>51591</v>
      </c>
      <c r="I21" s="48">
        <v>41184.284</v>
      </c>
      <c r="J21" s="142">
        <v>35801.409</v>
      </c>
    </row>
    <row r="22" spans="1:10" ht="12.75">
      <c r="A22" s="122" t="s">
        <v>21</v>
      </c>
      <c r="B22" s="2"/>
      <c r="C22" s="70">
        <v>260</v>
      </c>
      <c r="D22" s="71">
        <v>3141.339</v>
      </c>
      <c r="E22" s="11">
        <v>9449.916</v>
      </c>
      <c r="F22" s="71">
        <v>8907.428</v>
      </c>
      <c r="G22" s="48">
        <v>6745.1</v>
      </c>
      <c r="H22" s="79">
        <v>17902.716</v>
      </c>
      <c r="I22" s="48">
        <v>23645.301</v>
      </c>
      <c r="J22" s="142">
        <v>27578.163</v>
      </c>
    </row>
    <row r="23" spans="1:10" ht="12.75">
      <c r="A23" s="122" t="s">
        <v>22</v>
      </c>
      <c r="B23" s="2"/>
      <c r="C23" s="70">
        <v>126709.346</v>
      </c>
      <c r="D23" s="71">
        <v>103072.607</v>
      </c>
      <c r="E23" s="11">
        <v>148667.261</v>
      </c>
      <c r="F23" s="71">
        <v>219531.187</v>
      </c>
      <c r="G23" s="48">
        <f>196330.1-159</f>
        <v>196171.1</v>
      </c>
      <c r="H23" s="79">
        <v>192578</v>
      </c>
      <c r="I23" s="48">
        <v>227871.681</v>
      </c>
      <c r="J23" s="142">
        <v>308465.04</v>
      </c>
    </row>
    <row r="24" spans="1:10" ht="12.75">
      <c r="A24" s="127" t="s">
        <v>23</v>
      </c>
      <c r="B24" s="86"/>
      <c r="C24" s="72">
        <v>1102140.329</v>
      </c>
      <c r="D24" s="73">
        <v>835043.933</v>
      </c>
      <c r="E24" s="34">
        <v>1137304.115</v>
      </c>
      <c r="F24" s="73">
        <v>1690709.008</v>
      </c>
      <c r="G24" s="50">
        <f>G4+G5+G10+G16+G17+G18+G19+G20+G22+G23</f>
        <v>1685762.3000000005</v>
      </c>
      <c r="H24" s="50">
        <v>1962186</v>
      </c>
      <c r="I24" s="88">
        <v>2698515.652</v>
      </c>
      <c r="J24" s="128">
        <v>3458495.099</v>
      </c>
    </row>
    <row r="25" spans="1:10" ht="12.75">
      <c r="A25" s="143" t="s">
        <v>24</v>
      </c>
      <c r="B25" s="74"/>
      <c r="C25" s="44" t="s">
        <v>12</v>
      </c>
      <c r="D25" s="44" t="s">
        <v>12</v>
      </c>
      <c r="E25" s="44" t="s">
        <v>12</v>
      </c>
      <c r="F25" s="71">
        <v>156856.365</v>
      </c>
      <c r="G25" s="48">
        <v>114246.9</v>
      </c>
      <c r="H25" s="61">
        <v>92924.994</v>
      </c>
      <c r="I25" s="48">
        <v>161817.815</v>
      </c>
      <c r="J25" s="144">
        <v>209094.227</v>
      </c>
    </row>
    <row r="26" spans="1:10" ht="12.75">
      <c r="A26" s="270"/>
      <c r="B26" s="268"/>
      <c r="C26" s="268" t="s">
        <v>25</v>
      </c>
      <c r="D26" s="268"/>
      <c r="E26" s="268"/>
      <c r="F26" s="268"/>
      <c r="G26" s="268"/>
      <c r="H26" s="268"/>
      <c r="I26" s="268"/>
      <c r="J26" s="276"/>
    </row>
    <row r="27" spans="1:10" ht="12.75">
      <c r="A27" s="122" t="s">
        <v>14</v>
      </c>
      <c r="B27" s="2"/>
      <c r="C27" s="75">
        <f>C4/$C$24*100</f>
        <v>0.1301888663580516</v>
      </c>
      <c r="D27" s="76">
        <f>D4/$D$24*100</f>
        <v>0.4215766214063375</v>
      </c>
      <c r="E27" s="13">
        <f>E4/$E$24*100</f>
        <v>0.37970055177370043</v>
      </c>
      <c r="F27" s="76">
        <f>F4/$F$24*100</f>
        <v>0.41070639401242254</v>
      </c>
      <c r="G27" s="75">
        <f>G4/$G$24*100</f>
        <v>3.259285131717561</v>
      </c>
      <c r="H27" s="245">
        <f>H4/$H$24*100</f>
        <v>3.2199801649792628</v>
      </c>
      <c r="I27" s="245">
        <f>I4/$I$24*100</f>
        <v>1.5760652330653966</v>
      </c>
      <c r="J27" s="246">
        <f aca="true" t="shared" si="0" ref="J27:J32">J4/$J$24*100</f>
        <v>0.5445485814175502</v>
      </c>
    </row>
    <row r="28" spans="1:10" ht="12.75">
      <c r="A28" s="122" t="s">
        <v>15</v>
      </c>
      <c r="B28" s="2"/>
      <c r="C28" s="75">
        <f>C5/$C$24*100</f>
        <v>11.83588401291502</v>
      </c>
      <c r="D28" s="76">
        <f>D5/$D$24*100</f>
        <v>4.001795436073182</v>
      </c>
      <c r="E28" s="13">
        <f>E5/$E$24*100</f>
        <v>7.455754347639901</v>
      </c>
      <c r="F28" s="76">
        <f>F5/$F$24*100</f>
        <v>10.635619325924832</v>
      </c>
      <c r="G28" s="75">
        <f>G5/$G$24*100</f>
        <v>13.37090051189304</v>
      </c>
      <c r="H28" s="245">
        <f>H5/$H$24*100</f>
        <v>12.196142465597044</v>
      </c>
      <c r="I28" s="245">
        <f>I5/$I$24*100</f>
        <v>11.454852958547896</v>
      </c>
      <c r="J28" s="246">
        <f t="shared" si="0"/>
        <v>15.038177187250657</v>
      </c>
    </row>
    <row r="29" spans="1:10" ht="12.75">
      <c r="A29" s="122"/>
      <c r="B29" s="2" t="s">
        <v>79</v>
      </c>
      <c r="C29" s="75">
        <f>C6/$C$24*100</f>
        <v>4.485799557381045</v>
      </c>
      <c r="D29" s="76">
        <f>D6/$D$24*100</f>
        <v>0.6399307615830556</v>
      </c>
      <c r="E29" s="13">
        <f>E6/$E$24*100</f>
        <v>1.8673360730783957</v>
      </c>
      <c r="F29" s="76">
        <f>F6/$F$24*100</f>
        <v>2.8607333829264134</v>
      </c>
      <c r="G29" s="75">
        <f>G6/$G$24*100</f>
        <v>1.6011984607794345</v>
      </c>
      <c r="H29" s="245">
        <f>H6/$H$24*100</f>
        <v>0.9766148571032511</v>
      </c>
      <c r="I29" s="245">
        <f>I6/$I$24*100</f>
        <v>1.3273714745160945</v>
      </c>
      <c r="J29" s="246">
        <f t="shared" si="0"/>
        <v>2.887606838849535</v>
      </c>
    </row>
    <row r="30" spans="1:10" ht="12.75">
      <c r="A30" s="122"/>
      <c r="B30" s="2" t="s">
        <v>80</v>
      </c>
      <c r="C30" s="75">
        <f>C7/$C$24*100</f>
        <v>0.4506248314591889</v>
      </c>
      <c r="D30" s="76">
        <f>D7/$D$24*100</f>
        <v>0.977744484732398</v>
      </c>
      <c r="E30" s="13">
        <f>E7/$E$24*100</f>
        <v>1.5599675377944096</v>
      </c>
      <c r="F30" s="76">
        <f>F7/$F$24*100</f>
        <v>3.7805781300953476</v>
      </c>
      <c r="G30" s="75">
        <f>G7/$G$24*100</f>
        <v>9.283277956803278</v>
      </c>
      <c r="H30" s="245">
        <f>H7/$H$24*100</f>
        <v>7.705691509367614</v>
      </c>
      <c r="I30" s="245">
        <f>I7/$I$24*100</f>
        <v>6.597101998206235</v>
      </c>
      <c r="J30" s="246">
        <f t="shared" si="0"/>
        <v>9.18668111144257</v>
      </c>
    </row>
    <row r="31" spans="1:10" ht="12.75">
      <c r="A31" s="122"/>
      <c r="B31" s="2" t="s">
        <v>81</v>
      </c>
      <c r="C31" s="75">
        <f>C8/$C$24*100</f>
        <v>6.899459624074786</v>
      </c>
      <c r="D31" s="76">
        <f>D8/$D$24*100</f>
        <v>2.384120189757729</v>
      </c>
      <c r="E31" s="13">
        <f>E8/$E$24*100</f>
        <v>4.028450736767096</v>
      </c>
      <c r="F31" s="76">
        <f>F8/$F$24*100</f>
        <v>3.9943051512978043</v>
      </c>
      <c r="G31" s="75">
        <f>G8/$G$24*100</f>
        <v>2.4864240943103297</v>
      </c>
      <c r="H31" s="245">
        <f>H8/$H$24*100</f>
        <v>3.3231836329481506</v>
      </c>
      <c r="I31" s="245">
        <f>I8/$I$24*100</f>
        <v>3.4624368745369796</v>
      </c>
      <c r="J31" s="246">
        <f t="shared" si="0"/>
        <v>2.9070078494276332</v>
      </c>
    </row>
    <row r="32" spans="1:10" ht="12.75">
      <c r="A32" s="122"/>
      <c r="B32" s="2" t="s">
        <v>73</v>
      </c>
      <c r="C32" s="11" t="s">
        <v>75</v>
      </c>
      <c r="D32" s="11" t="s">
        <v>75</v>
      </c>
      <c r="E32" s="11" t="s">
        <v>75</v>
      </c>
      <c r="F32" s="11" t="s">
        <v>75</v>
      </c>
      <c r="G32" s="11" t="s">
        <v>75</v>
      </c>
      <c r="H32" s="11" t="s">
        <v>75</v>
      </c>
      <c r="I32" s="11" t="s">
        <v>75</v>
      </c>
      <c r="J32" s="246">
        <f t="shared" si="0"/>
        <v>0.05688138753091811</v>
      </c>
    </row>
    <row r="33" spans="1:10" ht="12.75">
      <c r="A33" s="122" t="s">
        <v>16</v>
      </c>
      <c r="B33" s="2"/>
      <c r="C33" s="75">
        <f aca="true" t="shared" si="1" ref="C33:C47">C10/$C$24*100</f>
        <v>56.71418816215008</v>
      </c>
      <c r="D33" s="76">
        <f aca="true" t="shared" si="2" ref="D33:D47">D10/$D$24*100</f>
        <v>63.461013254257125</v>
      </c>
      <c r="E33" s="13">
        <f aca="true" t="shared" si="3" ref="E33:E47">E10/$E$24*100</f>
        <v>60.31482537984135</v>
      </c>
      <c r="F33" s="76">
        <f aca="true" t="shared" si="4" ref="F33:F47">F10/$F$24*100</f>
        <v>63.89238732913879</v>
      </c>
      <c r="G33" s="75">
        <f aca="true" t="shared" si="5" ref="G33:G47">G10/$G$24*100</f>
        <v>61.83607261830447</v>
      </c>
      <c r="H33" s="245">
        <f aca="true" t="shared" si="6" ref="H33:H47">H10/$H$24*100</f>
        <v>65.78122563304396</v>
      </c>
      <c r="I33" s="245">
        <f aca="true" t="shared" si="7" ref="I33:I47">I10/$I$24*100</f>
        <v>69.09633074086761</v>
      </c>
      <c r="J33" s="246">
        <f aca="true" t="shared" si="8" ref="J33:J47">J10/$J$24*100</f>
        <v>67.36215166745853</v>
      </c>
    </row>
    <row r="34" spans="1:10" ht="12.75">
      <c r="A34" s="122"/>
      <c r="B34" s="2" t="s">
        <v>94</v>
      </c>
      <c r="C34" s="75">
        <f t="shared" si="1"/>
        <v>2.795432595044801</v>
      </c>
      <c r="D34" s="76">
        <f t="shared" si="2"/>
        <v>7.464190509842313</v>
      </c>
      <c r="E34" s="13">
        <f t="shared" si="3"/>
        <v>2.836970654942192</v>
      </c>
      <c r="F34" s="76">
        <f t="shared" si="4"/>
        <v>4.573927129629394</v>
      </c>
      <c r="G34" s="75">
        <f t="shared" si="5"/>
        <v>4.160396753445013</v>
      </c>
      <c r="H34" s="245">
        <f t="shared" si="6"/>
        <v>2.8043997358048625</v>
      </c>
      <c r="I34" s="245">
        <f t="shared" si="7"/>
        <v>1.846207153294659</v>
      </c>
      <c r="J34" s="246">
        <f t="shared" si="8"/>
        <v>1.9522806615953514</v>
      </c>
    </row>
    <row r="35" spans="1:10" ht="12.75">
      <c r="A35" s="122"/>
      <c r="B35" s="2" t="s">
        <v>95</v>
      </c>
      <c r="C35" s="75">
        <f t="shared" si="1"/>
        <v>5.006464108800433</v>
      </c>
      <c r="D35" s="76">
        <f t="shared" si="2"/>
        <v>5.919861105080324</v>
      </c>
      <c r="E35" s="13">
        <f t="shared" si="3"/>
        <v>4.7544125873491625</v>
      </c>
      <c r="F35" s="76">
        <f t="shared" si="4"/>
        <v>4.52884562853172</v>
      </c>
      <c r="G35" s="75">
        <f t="shared" si="5"/>
        <v>3.9280864211994766</v>
      </c>
      <c r="H35" s="245">
        <f t="shared" si="6"/>
        <v>2.984328957601369</v>
      </c>
      <c r="I35" s="245">
        <f t="shared" si="7"/>
        <v>3.1452909653162173</v>
      </c>
      <c r="J35" s="246">
        <f t="shared" si="8"/>
        <v>2.4910238278177768</v>
      </c>
    </row>
    <row r="36" spans="1:10" ht="12.75">
      <c r="A36" s="122"/>
      <c r="B36" s="2" t="s">
        <v>96</v>
      </c>
      <c r="C36" s="75">
        <f t="shared" si="1"/>
        <v>19.612130081123276</v>
      </c>
      <c r="D36" s="76">
        <f t="shared" si="2"/>
        <v>28.4104630456611</v>
      </c>
      <c r="E36" s="13">
        <f t="shared" si="3"/>
        <v>35.92252042453922</v>
      </c>
      <c r="F36" s="76">
        <f t="shared" si="4"/>
        <v>38.69182017157621</v>
      </c>
      <c r="G36" s="75">
        <f t="shared" si="5"/>
        <v>37.12749419061038</v>
      </c>
      <c r="H36" s="245">
        <f t="shared" si="6"/>
        <v>43.182795310944016</v>
      </c>
      <c r="I36" s="245">
        <f t="shared" si="7"/>
        <v>44.38897970120056</v>
      </c>
      <c r="J36" s="246">
        <f t="shared" si="8"/>
        <v>42.28106110148344</v>
      </c>
    </row>
    <row r="37" spans="1:10" ht="12.75">
      <c r="A37" s="122"/>
      <c r="B37" s="2" t="s">
        <v>97</v>
      </c>
      <c r="C37" s="75">
        <f t="shared" si="1"/>
        <v>28.85757771776447</v>
      </c>
      <c r="D37" s="76">
        <f t="shared" si="2"/>
        <v>20.923524271626555</v>
      </c>
      <c r="E37" s="13">
        <f t="shared" si="3"/>
        <v>15.961683740148958</v>
      </c>
      <c r="F37" s="76">
        <f t="shared" si="4"/>
        <v>15.433011284931892</v>
      </c>
      <c r="G37" s="75">
        <f t="shared" si="5"/>
        <v>15.893504084176039</v>
      </c>
      <c r="H37" s="245">
        <f t="shared" si="6"/>
        <v>16.202745305490918</v>
      </c>
      <c r="I37" s="245">
        <f t="shared" si="7"/>
        <v>19.16232817166554</v>
      </c>
      <c r="J37" s="246">
        <f t="shared" si="8"/>
        <v>20.135965154363227</v>
      </c>
    </row>
    <row r="38" spans="1:10" ht="12.75">
      <c r="A38" s="122"/>
      <c r="B38" s="2" t="s">
        <v>98</v>
      </c>
      <c r="C38" s="75">
        <f t="shared" si="1"/>
        <v>0.44258365941711225</v>
      </c>
      <c r="D38" s="76">
        <f t="shared" si="2"/>
        <v>0.7429743220468378</v>
      </c>
      <c r="E38" s="13">
        <f t="shared" si="3"/>
        <v>0.8392379728618146</v>
      </c>
      <c r="F38" s="76">
        <f t="shared" si="4"/>
        <v>0.6647831144695718</v>
      </c>
      <c r="G38" s="75">
        <f t="shared" si="5"/>
        <v>0.7265911688735711</v>
      </c>
      <c r="H38" s="245">
        <f t="shared" si="6"/>
        <v>0.6069589223447727</v>
      </c>
      <c r="I38" s="245">
        <f t="shared" si="7"/>
        <v>0.5535247493906328</v>
      </c>
      <c r="J38" s="246">
        <f t="shared" si="8"/>
        <v>0.5018209221987393</v>
      </c>
    </row>
    <row r="39" spans="1:10" ht="12.75">
      <c r="A39" s="122" t="s">
        <v>17</v>
      </c>
      <c r="B39" s="2"/>
      <c r="C39" s="75">
        <f t="shared" si="1"/>
        <v>5.573596608676499</v>
      </c>
      <c r="D39" s="76">
        <f t="shared" si="2"/>
        <v>5.246797475983818</v>
      </c>
      <c r="E39" s="13">
        <f t="shared" si="3"/>
        <v>1.9343517454871777</v>
      </c>
      <c r="F39" s="76">
        <f t="shared" si="4"/>
        <v>1.1627783910168887</v>
      </c>
      <c r="G39" s="75">
        <f t="shared" si="5"/>
        <v>0.9926429129421149</v>
      </c>
      <c r="H39" s="245">
        <f t="shared" si="6"/>
        <v>1.1455663734222954</v>
      </c>
      <c r="I39" s="245">
        <f t="shared" si="7"/>
        <v>0.8355704730965187</v>
      </c>
      <c r="J39" s="246">
        <f t="shared" si="8"/>
        <v>0.6148398477172454</v>
      </c>
    </row>
    <row r="40" spans="1:10" ht="12.75">
      <c r="A40" s="122" t="s">
        <v>99</v>
      </c>
      <c r="B40" s="2"/>
      <c r="C40" s="75">
        <f t="shared" si="1"/>
        <v>0.020318374539763352</v>
      </c>
      <c r="D40" s="76">
        <f t="shared" si="2"/>
        <v>0.024561102942592124</v>
      </c>
      <c r="E40" s="13">
        <f t="shared" si="3"/>
        <v>0.04774061685339106</v>
      </c>
      <c r="F40" s="76">
        <f t="shared" si="4"/>
        <v>0.35237009868702374</v>
      </c>
      <c r="G40" s="75">
        <f t="shared" si="5"/>
        <v>0.09859634421768712</v>
      </c>
      <c r="H40" s="245">
        <f t="shared" si="6"/>
        <v>0.19085856284776265</v>
      </c>
      <c r="I40" s="245">
        <f t="shared" si="7"/>
        <v>0.3857424726176834</v>
      </c>
      <c r="J40" s="246">
        <f t="shared" si="8"/>
        <v>0.7022716616548833</v>
      </c>
    </row>
    <row r="41" spans="1:10" ht="12.75">
      <c r="A41" s="122" t="s">
        <v>18</v>
      </c>
      <c r="B41" s="2"/>
      <c r="C41" s="75">
        <f t="shared" si="1"/>
        <v>5.436634285433176</v>
      </c>
      <c r="D41" s="76">
        <f t="shared" si="2"/>
        <v>6.798713188183838</v>
      </c>
      <c r="E41" s="13">
        <f t="shared" si="3"/>
        <v>10.600265083890953</v>
      </c>
      <c r="F41" s="76">
        <f t="shared" si="4"/>
        <v>6.739818943461855</v>
      </c>
      <c r="G41" s="75">
        <f t="shared" si="5"/>
        <v>4.402334777566207</v>
      </c>
      <c r="H41" s="245">
        <f t="shared" si="6"/>
        <v>2.6725295155505138</v>
      </c>
      <c r="I41" s="245">
        <f t="shared" si="7"/>
        <v>4.463896657806008</v>
      </c>
      <c r="J41" s="246">
        <f t="shared" si="8"/>
        <v>3.701777661533127</v>
      </c>
    </row>
    <row r="42" spans="1:10" ht="12.75">
      <c r="A42" s="122" t="s">
        <v>19</v>
      </c>
      <c r="B42" s="2"/>
      <c r="C42" s="75">
        <f t="shared" si="1"/>
        <v>2.3581302957656316</v>
      </c>
      <c r="D42" s="76">
        <f t="shared" si="2"/>
        <v>0.7298443541892065</v>
      </c>
      <c r="E42" s="13">
        <f t="shared" si="3"/>
        <v>0.5658467172608446</v>
      </c>
      <c r="F42" s="76">
        <f t="shared" si="4"/>
        <v>0.5646427004782364</v>
      </c>
      <c r="G42" s="75">
        <f t="shared" si="5"/>
        <v>0.5293806843349147</v>
      </c>
      <c r="H42" s="245">
        <f t="shared" si="6"/>
        <v>0.5076990662455036</v>
      </c>
      <c r="I42" s="245">
        <f t="shared" si="7"/>
        <v>0.6778771131619139</v>
      </c>
      <c r="J42" s="246">
        <f t="shared" si="8"/>
        <v>0.6823981334200525</v>
      </c>
    </row>
    <row r="43" spans="1:10" ht="12.75">
      <c r="A43" s="122" t="s">
        <v>20</v>
      </c>
      <c r="B43" s="2"/>
      <c r="C43" s="75">
        <f t="shared" si="1"/>
        <v>6.410807148678434</v>
      </c>
      <c r="D43" s="76">
        <f t="shared" si="2"/>
        <v>6.596134744924852</v>
      </c>
      <c r="E43" s="13">
        <f t="shared" si="3"/>
        <v>4.798710237674643</v>
      </c>
      <c r="F43" s="76">
        <f t="shared" si="4"/>
        <v>2.7302674665822804</v>
      </c>
      <c r="G43" s="75">
        <f t="shared" si="5"/>
        <v>3.4737281762677914</v>
      </c>
      <c r="H43" s="245">
        <f t="shared" si="6"/>
        <v>3.5591936748096256</v>
      </c>
      <c r="I43" s="245">
        <f t="shared" si="7"/>
        <v>2.189138645766877</v>
      </c>
      <c r="J43" s="246">
        <f t="shared" si="8"/>
        <v>1.6373778588373245</v>
      </c>
    </row>
    <row r="44" spans="1:10" ht="12.75">
      <c r="A44" s="122"/>
      <c r="B44" s="2" t="s">
        <v>100</v>
      </c>
      <c r="C44" s="75">
        <f t="shared" si="1"/>
        <v>6.1973028481747905</v>
      </c>
      <c r="D44" s="76">
        <f t="shared" si="2"/>
        <v>5.95653582216973</v>
      </c>
      <c r="E44" s="13">
        <f t="shared" si="3"/>
        <v>4.5650243690536545</v>
      </c>
      <c r="F44" s="76">
        <f t="shared" si="4"/>
        <v>2.3200644116991658</v>
      </c>
      <c r="G44" s="75">
        <f t="shared" si="5"/>
        <v>2.646867829468009</v>
      </c>
      <c r="H44" s="245">
        <f t="shared" si="6"/>
        <v>2.6292614461625963</v>
      </c>
      <c r="I44" s="245">
        <f t="shared" si="7"/>
        <v>1.5261828838930893</v>
      </c>
      <c r="J44" s="246">
        <f t="shared" si="8"/>
        <v>1.0351730442050282</v>
      </c>
    </row>
    <row r="45" spans="1:10" ht="12.75">
      <c r="A45" s="122" t="s">
        <v>21</v>
      </c>
      <c r="B45" s="2"/>
      <c r="C45" s="75">
        <f t="shared" si="1"/>
        <v>0.023590462408349094</v>
      </c>
      <c r="D45" s="76">
        <f t="shared" si="2"/>
        <v>0.3761884705532014</v>
      </c>
      <c r="E45" s="13">
        <f t="shared" si="3"/>
        <v>0.8309049334618823</v>
      </c>
      <c r="F45" s="76">
        <f t="shared" si="4"/>
        <v>0.5268457172613585</v>
      </c>
      <c r="G45" s="75">
        <f t="shared" si="5"/>
        <v>0.4001216541620368</v>
      </c>
      <c r="H45" s="245">
        <f t="shared" si="6"/>
        <v>0.9123862875384902</v>
      </c>
      <c r="I45" s="245">
        <f t="shared" si="7"/>
        <v>0.8762336057778776</v>
      </c>
      <c r="J45" s="246">
        <f t="shared" si="8"/>
        <v>0.7974035587898921</v>
      </c>
    </row>
    <row r="46" spans="1:10" ht="12.75">
      <c r="A46" s="122" t="s">
        <v>22</v>
      </c>
      <c r="B46" s="2"/>
      <c r="C46" s="75">
        <f t="shared" si="1"/>
        <v>11.496661783074995</v>
      </c>
      <c r="D46" s="76">
        <f t="shared" si="2"/>
        <v>12.34337535148585</v>
      </c>
      <c r="E46" s="13">
        <f t="shared" si="3"/>
        <v>13.07190038611616</v>
      </c>
      <c r="F46" s="76">
        <f t="shared" si="4"/>
        <v>12.984563633436325</v>
      </c>
      <c r="G46" s="75">
        <f t="shared" si="5"/>
        <v>11.63693718859414</v>
      </c>
      <c r="H46" s="245">
        <f t="shared" si="6"/>
        <v>9.81446203367061</v>
      </c>
      <c r="I46" s="245">
        <f t="shared" si="7"/>
        <v>8.44433423356701</v>
      </c>
      <c r="J46" s="246">
        <f t="shared" si="8"/>
        <v>8.91905384192074</v>
      </c>
    </row>
    <row r="47" spans="1:10" ht="13.5" thickBot="1">
      <c r="A47" s="133" t="s">
        <v>23</v>
      </c>
      <c r="B47" s="145"/>
      <c r="C47" s="135">
        <f t="shared" si="1"/>
        <v>100</v>
      </c>
      <c r="D47" s="136">
        <f t="shared" si="2"/>
        <v>100</v>
      </c>
      <c r="E47" s="137">
        <f t="shared" si="3"/>
        <v>100</v>
      </c>
      <c r="F47" s="136">
        <f t="shared" si="4"/>
        <v>100</v>
      </c>
      <c r="G47" s="135">
        <f t="shared" si="5"/>
        <v>100</v>
      </c>
      <c r="H47" s="135">
        <f t="shared" si="6"/>
        <v>100</v>
      </c>
      <c r="I47" s="135">
        <f t="shared" si="7"/>
        <v>100</v>
      </c>
      <c r="J47" s="247">
        <f t="shared" si="8"/>
        <v>100</v>
      </c>
    </row>
    <row r="48" spans="1:8" ht="12.75">
      <c r="A48" s="77"/>
      <c r="B48" s="77"/>
      <c r="C48" s="77"/>
      <c r="D48" s="77"/>
      <c r="E48" s="77"/>
      <c r="G48" s="69"/>
      <c r="H48" s="69"/>
    </row>
    <row r="49" spans="1:8" ht="12.75">
      <c r="A49" s="77"/>
      <c r="B49" s="77"/>
      <c r="C49" s="77"/>
      <c r="D49" s="77"/>
      <c r="E49" s="77"/>
      <c r="G49" s="69"/>
      <c r="H49" s="69"/>
    </row>
    <row r="50" spans="1:8" ht="12.75">
      <c r="A50" s="77"/>
      <c r="B50" s="77"/>
      <c r="C50" s="77"/>
      <c r="D50" s="77"/>
      <c r="E50" s="77"/>
      <c r="G50" s="69"/>
      <c r="H50" s="69"/>
    </row>
    <row r="51" spans="1:8" ht="12.75">
      <c r="A51" s="77"/>
      <c r="B51" s="77"/>
      <c r="C51" s="77"/>
      <c r="D51" s="77"/>
      <c r="E51" s="77"/>
      <c r="G51" s="69"/>
      <c r="H51" s="69"/>
    </row>
    <row r="52" spans="1:8" ht="12.75">
      <c r="A52" s="77"/>
      <c r="B52" s="77"/>
      <c r="C52" s="77"/>
      <c r="D52" s="77"/>
      <c r="E52" s="77"/>
      <c r="G52" s="69"/>
      <c r="H52" s="69"/>
    </row>
    <row r="53" spans="1:8" ht="12.75">
      <c r="A53" s="77"/>
      <c r="B53" s="77"/>
      <c r="C53" s="77"/>
      <c r="D53" s="77"/>
      <c r="E53" s="77"/>
      <c r="G53" s="69"/>
      <c r="H53" s="69"/>
    </row>
    <row r="54" spans="1:8" ht="12.75">
      <c r="A54" s="77"/>
      <c r="B54" s="77"/>
      <c r="C54" s="77"/>
      <c r="D54" s="77"/>
      <c r="E54" s="77"/>
      <c r="G54" s="69"/>
      <c r="H54" s="69"/>
    </row>
    <row r="55" spans="1:8" ht="12.75">
      <c r="A55" s="77"/>
      <c r="B55" s="77"/>
      <c r="C55" s="77"/>
      <c r="D55" s="77"/>
      <c r="E55" s="77"/>
      <c r="G55" s="69"/>
      <c r="H55" s="69"/>
    </row>
    <row r="56" spans="1:5" ht="12.75">
      <c r="A56" s="77"/>
      <c r="B56" s="77"/>
      <c r="C56" s="77"/>
      <c r="D56" s="77"/>
      <c r="E56" s="77"/>
    </row>
    <row r="57" spans="1:5" ht="12.75">
      <c r="A57" s="77"/>
      <c r="B57" s="77"/>
      <c r="C57" s="77"/>
      <c r="D57" s="77"/>
      <c r="E57" s="77"/>
    </row>
    <row r="58" spans="1:5" ht="12.75">
      <c r="A58" s="77"/>
      <c r="B58" s="77"/>
      <c r="C58" s="77"/>
      <c r="D58" s="77"/>
      <c r="E58" s="77"/>
    </row>
    <row r="59" spans="1:5" ht="12.75">
      <c r="A59" s="77"/>
      <c r="B59" s="77"/>
      <c r="C59" s="77"/>
      <c r="D59" s="77"/>
      <c r="E59" s="77"/>
    </row>
    <row r="60" spans="1:5" ht="12.75">
      <c r="A60" s="77"/>
      <c r="B60" s="77"/>
      <c r="C60" s="77"/>
      <c r="D60" s="77"/>
      <c r="E60" s="77"/>
    </row>
    <row r="61" spans="1:5" ht="12.75">
      <c r="A61" s="77"/>
      <c r="B61" s="77"/>
      <c r="C61" s="77"/>
      <c r="D61" s="77"/>
      <c r="E61" s="77"/>
    </row>
    <row r="62" spans="1:5" ht="12.75">
      <c r="A62" s="77"/>
      <c r="B62" s="77"/>
      <c r="C62" s="77"/>
      <c r="D62" s="77"/>
      <c r="E62" s="77"/>
    </row>
  </sheetData>
  <mergeCells count="4">
    <mergeCell ref="A2:B3"/>
    <mergeCell ref="C3:J3"/>
    <mergeCell ref="C26:J26"/>
    <mergeCell ref="A26:B26"/>
  </mergeCells>
  <printOptions/>
  <pageMargins left="0.43" right="0.17" top="0.51" bottom="0.24" header="0.25" footer="0.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5"/>
  <sheetViews>
    <sheetView workbookViewId="0" topLeftCell="A1">
      <pane xSplit="3" ySplit="3" topLeftCell="D28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E42" sqref="E42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.75390625" style="0" customWidth="1"/>
    <col min="8" max="9" width="9.125" style="78" customWidth="1"/>
  </cols>
  <sheetData>
    <row r="1" spans="1:11" ht="26.25" customHeight="1" thickBo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" customHeight="1">
      <c r="A2" s="264" t="s">
        <v>7</v>
      </c>
      <c r="B2" s="265"/>
      <c r="C2" s="265"/>
      <c r="D2" s="146" t="s">
        <v>0</v>
      </c>
      <c r="E2" s="147" t="s">
        <v>1</v>
      </c>
      <c r="F2" s="147" t="s">
        <v>2</v>
      </c>
      <c r="G2" s="147" t="s">
        <v>3</v>
      </c>
      <c r="H2" s="121" t="s">
        <v>66</v>
      </c>
      <c r="I2" s="148" t="s">
        <v>67</v>
      </c>
      <c r="J2" s="148" t="s">
        <v>72</v>
      </c>
      <c r="K2" s="149" t="s">
        <v>74</v>
      </c>
    </row>
    <row r="3" spans="1:11" ht="12" customHeight="1">
      <c r="A3" s="266"/>
      <c r="B3" s="267"/>
      <c r="C3" s="267"/>
      <c r="D3" s="262" t="s">
        <v>71</v>
      </c>
      <c r="E3" s="262"/>
      <c r="F3" s="262"/>
      <c r="G3" s="262"/>
      <c r="H3" s="262"/>
      <c r="I3" s="262"/>
      <c r="J3" s="262"/>
      <c r="K3" s="263"/>
    </row>
    <row r="4" spans="1:11" ht="11.25" customHeight="1">
      <c r="A4" s="150" t="s">
        <v>26</v>
      </c>
      <c r="B4" s="5"/>
      <c r="C4" s="5"/>
      <c r="D4" s="17">
        <v>488838.719</v>
      </c>
      <c r="E4" s="18">
        <v>248787.397</v>
      </c>
      <c r="F4" s="115">
        <v>287680.469</v>
      </c>
      <c r="G4" s="18">
        <v>501635.593</v>
      </c>
      <c r="H4" s="248">
        <f>H5+H12</f>
        <v>732622.9</v>
      </c>
      <c r="I4" s="240">
        <f>I5+I12</f>
        <v>850561.435</v>
      </c>
      <c r="J4" s="248">
        <v>1086727.676</v>
      </c>
      <c r="K4" s="249">
        <v>1635747.837</v>
      </c>
    </row>
    <row r="5" spans="1:11" ht="11.25" customHeight="1">
      <c r="A5" s="151"/>
      <c r="B5" s="5" t="s">
        <v>101</v>
      </c>
      <c r="C5" s="5"/>
      <c r="D5" s="17">
        <v>372442.329</v>
      </c>
      <c r="E5" s="18">
        <v>223266.518</v>
      </c>
      <c r="F5" s="17">
        <v>236103.727</v>
      </c>
      <c r="G5" s="18">
        <v>376629.509</v>
      </c>
      <c r="H5" s="248">
        <f>SUM(H6:H11)</f>
        <v>573923.9</v>
      </c>
      <c r="I5" s="240">
        <f>SUM(I6:I11)</f>
        <v>672067.5880000001</v>
      </c>
      <c r="J5" s="248">
        <v>939982.432</v>
      </c>
      <c r="K5" s="249">
        <v>1405426.684</v>
      </c>
    </row>
    <row r="6" spans="1:11" ht="11.25" customHeight="1">
      <c r="A6" s="152"/>
      <c r="B6" s="8" t="s">
        <v>102</v>
      </c>
      <c r="C6" s="8"/>
      <c r="D6" s="14">
        <v>7663.318</v>
      </c>
      <c r="E6" s="15">
        <v>18948.385</v>
      </c>
      <c r="F6" s="14">
        <v>24690.254</v>
      </c>
      <c r="G6" s="15">
        <v>2655.192</v>
      </c>
      <c r="H6" s="70">
        <f>815.3+106.4+2758.7+1654.3</f>
        <v>5334.7</v>
      </c>
      <c r="I6" s="32">
        <v>16372.895</v>
      </c>
      <c r="J6" s="70">
        <v>36598</v>
      </c>
      <c r="K6" s="250">
        <v>51944.555</v>
      </c>
    </row>
    <row r="7" spans="1:11" ht="11.25" customHeight="1">
      <c r="A7" s="152"/>
      <c r="B7" s="8" t="s">
        <v>103</v>
      </c>
      <c r="C7" s="8"/>
      <c r="D7" s="14">
        <v>17482.876</v>
      </c>
      <c r="E7" s="15">
        <v>9582.995</v>
      </c>
      <c r="F7" s="14">
        <v>11641.236</v>
      </c>
      <c r="G7" s="15">
        <v>24834.948</v>
      </c>
      <c r="H7" s="70">
        <f>70+195.5+11249.6+12272.5</f>
        <v>23787.6</v>
      </c>
      <c r="I7" s="32">
        <v>30710.877</v>
      </c>
      <c r="J7" s="70">
        <v>52532.403</v>
      </c>
      <c r="K7" s="250">
        <v>81210.937</v>
      </c>
    </row>
    <row r="8" spans="1:11" ht="11.25" customHeight="1">
      <c r="A8" s="152"/>
      <c r="B8" s="8" t="s">
        <v>85</v>
      </c>
      <c r="C8" s="8"/>
      <c r="D8" s="14">
        <v>31407.385</v>
      </c>
      <c r="E8" s="15">
        <v>27774.74</v>
      </c>
      <c r="F8" s="14">
        <v>21059.372</v>
      </c>
      <c r="G8" s="15">
        <v>36585.78</v>
      </c>
      <c r="H8" s="70">
        <f>6363.3+5419.6+23532.2+20061.7+6113+2709.3-485.6</f>
        <v>63713.50000000001</v>
      </c>
      <c r="I8" s="32">
        <v>94042.86</v>
      </c>
      <c r="J8" s="70">
        <v>158569.764</v>
      </c>
      <c r="K8" s="250">
        <v>238858.425</v>
      </c>
    </row>
    <row r="9" spans="1:11" ht="11.25" customHeight="1">
      <c r="A9" s="152"/>
      <c r="B9" s="8" t="s">
        <v>86</v>
      </c>
      <c r="C9" s="8"/>
      <c r="D9" s="14">
        <v>254503.072</v>
      </c>
      <c r="E9" s="15">
        <v>123447.134</v>
      </c>
      <c r="F9" s="14">
        <v>157282.067</v>
      </c>
      <c r="G9" s="15">
        <v>294845.588</v>
      </c>
      <c r="H9" s="70">
        <f>12446.1+8421.7+195938.5+249551.3</f>
        <v>466357.6</v>
      </c>
      <c r="I9" s="32">
        <v>510226.84</v>
      </c>
      <c r="J9" s="70">
        <v>671887.57</v>
      </c>
      <c r="K9" s="250">
        <v>1014899.305</v>
      </c>
    </row>
    <row r="10" spans="1:11" ht="11.25" customHeight="1">
      <c r="A10" s="152"/>
      <c r="B10" s="8" t="s">
        <v>87</v>
      </c>
      <c r="C10" s="8"/>
      <c r="D10" s="14">
        <v>325.67</v>
      </c>
      <c r="E10" s="15">
        <v>293.684</v>
      </c>
      <c r="F10" s="14">
        <v>255.555</v>
      </c>
      <c r="G10" s="15">
        <v>205.384</v>
      </c>
      <c r="H10" s="70">
        <f>227.6+62.7</f>
        <v>290.3</v>
      </c>
      <c r="I10" s="32">
        <v>326.049</v>
      </c>
      <c r="J10" s="70">
        <v>315.499</v>
      </c>
      <c r="K10" s="250">
        <v>460.426</v>
      </c>
    </row>
    <row r="11" spans="1:11" ht="11.25" customHeight="1">
      <c r="A11" s="152"/>
      <c r="B11" s="8" t="s">
        <v>88</v>
      </c>
      <c r="C11" s="8"/>
      <c r="D11" s="14">
        <v>61060.008</v>
      </c>
      <c r="E11" s="15">
        <v>43219.58</v>
      </c>
      <c r="F11" s="14">
        <v>21175.243</v>
      </c>
      <c r="G11" s="15">
        <v>17502.617</v>
      </c>
      <c r="H11" s="70">
        <v>14440.2</v>
      </c>
      <c r="I11" s="32">
        <v>20388.067</v>
      </c>
      <c r="J11" s="70">
        <v>20078.893</v>
      </c>
      <c r="K11" s="250">
        <v>18053.036</v>
      </c>
    </row>
    <row r="12" spans="1:11" ht="11.25" customHeight="1">
      <c r="A12" s="152"/>
      <c r="B12" s="5" t="s">
        <v>104</v>
      </c>
      <c r="C12" s="5"/>
      <c r="D12" s="17">
        <v>116396.39</v>
      </c>
      <c r="E12" s="18">
        <v>25520.879</v>
      </c>
      <c r="F12" s="17">
        <v>51576.742</v>
      </c>
      <c r="G12" s="18">
        <v>125006.084</v>
      </c>
      <c r="H12" s="248">
        <f>SUM(H13:H17)</f>
        <v>158699</v>
      </c>
      <c r="I12" s="240">
        <f>SUM(I13:I17)</f>
        <v>178493.847</v>
      </c>
      <c r="J12" s="248">
        <v>146745.244</v>
      </c>
      <c r="K12" s="249">
        <v>230321.153</v>
      </c>
    </row>
    <row r="13" spans="1:11" ht="11.25" customHeight="1">
      <c r="A13" s="152"/>
      <c r="B13" s="8" t="s">
        <v>102</v>
      </c>
      <c r="C13" s="8"/>
      <c r="D13" s="14">
        <v>0</v>
      </c>
      <c r="E13" s="15">
        <v>0</v>
      </c>
      <c r="F13" s="14">
        <v>0</v>
      </c>
      <c r="G13" s="15">
        <v>0</v>
      </c>
      <c r="H13" s="70">
        <v>2834.9</v>
      </c>
      <c r="I13" s="32">
        <v>1713.504</v>
      </c>
      <c r="J13" s="70">
        <v>1306.47</v>
      </c>
      <c r="K13" s="250">
        <v>25.601</v>
      </c>
    </row>
    <row r="14" spans="1:11" ht="11.25" customHeight="1">
      <c r="A14" s="152"/>
      <c r="B14" s="8" t="s">
        <v>103</v>
      </c>
      <c r="C14" s="8"/>
      <c r="D14" s="14">
        <v>123.801</v>
      </c>
      <c r="E14" s="15">
        <v>0</v>
      </c>
      <c r="F14" s="14">
        <v>111.22</v>
      </c>
      <c r="G14" s="15">
        <v>0</v>
      </c>
      <c r="H14" s="70">
        <v>1085.6</v>
      </c>
      <c r="I14" s="32">
        <v>1166.064</v>
      </c>
      <c r="J14" s="70">
        <v>955.444</v>
      </c>
      <c r="K14" s="250">
        <v>2513.056</v>
      </c>
    </row>
    <row r="15" spans="1:11" ht="11.25" customHeight="1">
      <c r="A15" s="152"/>
      <c r="B15" s="8" t="s">
        <v>85</v>
      </c>
      <c r="C15" s="8"/>
      <c r="D15" s="14">
        <v>1405.014</v>
      </c>
      <c r="E15" s="15">
        <v>1649.594</v>
      </c>
      <c r="F15" s="14">
        <v>227.022</v>
      </c>
      <c r="G15" s="15">
        <v>1820.71</v>
      </c>
      <c r="H15" s="70">
        <f>19+5034+7.9+138.9+1463.4+170.7</f>
        <v>6833.899999999999</v>
      </c>
      <c r="I15" s="32">
        <v>7738.993</v>
      </c>
      <c r="J15" s="70">
        <v>5738.2</v>
      </c>
      <c r="K15" s="250">
        <v>6297.618</v>
      </c>
    </row>
    <row r="16" spans="1:11" ht="11.25" customHeight="1">
      <c r="A16" s="152"/>
      <c r="B16" s="8" t="s">
        <v>86</v>
      </c>
      <c r="C16" s="8"/>
      <c r="D16" s="14">
        <v>114867.575</v>
      </c>
      <c r="E16" s="15">
        <v>23871.285</v>
      </c>
      <c r="F16" s="14">
        <v>51238.5</v>
      </c>
      <c r="G16" s="15">
        <v>123185.374</v>
      </c>
      <c r="H16" s="70">
        <f>1930+29553.3+18.3+13144.4+98689+4553.4</f>
        <v>147888.4</v>
      </c>
      <c r="I16" s="32">
        <v>167875.286</v>
      </c>
      <c r="J16" s="70">
        <v>137287.837</v>
      </c>
      <c r="K16" s="250">
        <v>213828.778</v>
      </c>
    </row>
    <row r="17" spans="1:11" ht="11.25" customHeight="1">
      <c r="A17" s="152"/>
      <c r="B17" s="8" t="s">
        <v>87</v>
      </c>
      <c r="C17" s="8"/>
      <c r="D17" s="14">
        <v>0</v>
      </c>
      <c r="E17" s="15">
        <v>0</v>
      </c>
      <c r="F17" s="14">
        <v>0</v>
      </c>
      <c r="G17" s="15">
        <v>0</v>
      </c>
      <c r="H17" s="70">
        <v>56.2</v>
      </c>
      <c r="I17" s="32">
        <v>0</v>
      </c>
      <c r="J17" s="70">
        <v>1457.293</v>
      </c>
      <c r="K17" s="250">
        <v>7656.1</v>
      </c>
    </row>
    <row r="18" spans="1:11" ht="11.25" customHeight="1">
      <c r="A18" s="152"/>
      <c r="B18" s="4" t="s">
        <v>105</v>
      </c>
      <c r="C18" s="4"/>
      <c r="D18" s="14">
        <v>20365.642</v>
      </c>
      <c r="E18" s="15">
        <v>9206.2</v>
      </c>
      <c r="F18" s="14">
        <v>12466.781</v>
      </c>
      <c r="G18" s="15">
        <v>27743.724</v>
      </c>
      <c r="H18" s="70">
        <v>32964.8</v>
      </c>
      <c r="I18" s="32">
        <v>30713.206</v>
      </c>
      <c r="J18" s="70">
        <v>47928.543</v>
      </c>
      <c r="K18" s="250">
        <v>61723.056</v>
      </c>
    </row>
    <row r="19" spans="1:11" ht="11.25" customHeight="1">
      <c r="A19" s="152"/>
      <c r="B19" s="4" t="s">
        <v>106</v>
      </c>
      <c r="C19" s="4"/>
      <c r="D19" s="14">
        <v>347110.185</v>
      </c>
      <c r="E19" s="15">
        <v>132339.86</v>
      </c>
      <c r="F19" s="14">
        <v>163389.996</v>
      </c>
      <c r="G19" s="15">
        <v>238890.012</v>
      </c>
      <c r="H19" s="70">
        <f>33346.3+54003.2+170307.9-485.6</f>
        <v>257171.8</v>
      </c>
      <c r="I19" s="32">
        <v>261705.867</v>
      </c>
      <c r="J19" s="70">
        <v>241637.776</v>
      </c>
      <c r="K19" s="250">
        <v>361710.025</v>
      </c>
    </row>
    <row r="20" spans="1:11" ht="11.25" customHeight="1">
      <c r="A20" s="152"/>
      <c r="B20" s="4" t="s">
        <v>107</v>
      </c>
      <c r="C20" s="4" t="s">
        <v>27</v>
      </c>
      <c r="D20" s="14">
        <v>56530.384</v>
      </c>
      <c r="E20" s="15">
        <v>59458.578</v>
      </c>
      <c r="F20" s="14">
        <v>76336.949</v>
      </c>
      <c r="G20" s="15">
        <v>179421.596</v>
      </c>
      <c r="H20" s="70">
        <v>336879.8</v>
      </c>
      <c r="I20" s="32">
        <v>410525.193</v>
      </c>
      <c r="J20" s="70">
        <v>540686.44</v>
      </c>
      <c r="K20" s="251">
        <v>724492.147</v>
      </c>
    </row>
    <row r="21" spans="1:11" ht="11.25" customHeight="1" thickBot="1">
      <c r="A21" s="153"/>
      <c r="B21" s="154" t="s">
        <v>108</v>
      </c>
      <c r="C21" s="154"/>
      <c r="D21" s="155">
        <v>3772.5</v>
      </c>
      <c r="E21" s="156">
        <v>4563.179</v>
      </c>
      <c r="F21" s="155">
        <v>14311.5</v>
      </c>
      <c r="G21" s="156">
        <v>38077.644</v>
      </c>
      <c r="H21" s="231">
        <v>91166</v>
      </c>
      <c r="I21" s="252">
        <v>127229.102</v>
      </c>
      <c r="J21" s="232">
        <v>236396.024</v>
      </c>
      <c r="K21" s="253">
        <v>469769.573</v>
      </c>
    </row>
    <row r="22" spans="1:9" ht="12.75" customHeight="1">
      <c r="A22" s="3" t="s">
        <v>109</v>
      </c>
      <c r="B22" s="3"/>
      <c r="C22" s="3"/>
      <c r="D22" s="3"/>
      <c r="E22" s="3"/>
      <c r="F22" s="3"/>
      <c r="I22" s="87"/>
    </row>
    <row r="23" spans="1:9" ht="12.75" customHeight="1" thickBot="1">
      <c r="A23" s="3"/>
      <c r="B23" s="3"/>
      <c r="C23" s="3"/>
      <c r="D23" s="3"/>
      <c r="E23" s="3"/>
      <c r="F23" s="3"/>
      <c r="I23" s="87"/>
    </row>
    <row r="24" spans="1:11" ht="12" customHeight="1">
      <c r="A24" s="271" t="s">
        <v>113</v>
      </c>
      <c r="B24" s="272"/>
      <c r="C24" s="282"/>
      <c r="D24" s="146" t="s">
        <v>0</v>
      </c>
      <c r="E24" s="120" t="s">
        <v>1</v>
      </c>
      <c r="F24" s="120" t="s">
        <v>2</v>
      </c>
      <c r="G24" s="120" t="s">
        <v>3</v>
      </c>
      <c r="H24" s="139" t="s">
        <v>66</v>
      </c>
      <c r="I24" s="148" t="s">
        <v>67</v>
      </c>
      <c r="J24" s="148" t="s">
        <v>72</v>
      </c>
      <c r="K24" s="149" t="s">
        <v>74</v>
      </c>
    </row>
    <row r="25" spans="1:11" ht="12" customHeight="1">
      <c r="A25" s="273"/>
      <c r="B25" s="274"/>
      <c r="C25" s="283"/>
      <c r="D25" s="262" t="s">
        <v>71</v>
      </c>
      <c r="E25" s="262"/>
      <c r="F25" s="262"/>
      <c r="G25" s="262"/>
      <c r="H25" s="262"/>
      <c r="I25" s="262"/>
      <c r="J25" s="262"/>
      <c r="K25" s="263"/>
    </row>
    <row r="26" spans="1:11" ht="12" customHeight="1">
      <c r="A26" s="152" t="s">
        <v>110</v>
      </c>
      <c r="B26" s="4"/>
      <c r="C26" s="4"/>
      <c r="D26" s="14">
        <v>488838.719</v>
      </c>
      <c r="E26" s="15">
        <v>248787.397</v>
      </c>
      <c r="F26" s="117">
        <v>287680.469</v>
      </c>
      <c r="G26" s="16">
        <v>501635.593</v>
      </c>
      <c r="H26" s="48">
        <v>732622.9</v>
      </c>
      <c r="I26" s="93">
        <v>850561.435</v>
      </c>
      <c r="J26" s="108">
        <v>1086727.676</v>
      </c>
      <c r="K26" s="123">
        <v>1635747.837</v>
      </c>
    </row>
    <row r="27" spans="1:11" ht="12" customHeight="1">
      <c r="A27" s="152" t="s">
        <v>111</v>
      </c>
      <c r="B27" s="4"/>
      <c r="C27" s="4"/>
      <c r="D27" s="14">
        <v>65569.9305</v>
      </c>
      <c r="E27" s="15">
        <v>46515.5941</v>
      </c>
      <c r="F27" s="14">
        <v>44621.648</v>
      </c>
      <c r="G27" s="16">
        <v>37277.205</v>
      </c>
      <c r="H27" s="48">
        <v>31509.773</v>
      </c>
      <c r="I27" s="93">
        <v>35435.023</v>
      </c>
      <c r="J27" s="66">
        <v>31188.576</v>
      </c>
      <c r="K27" s="124">
        <v>28371.851</v>
      </c>
    </row>
    <row r="28" spans="1:11" ht="12" customHeight="1">
      <c r="A28" s="157" t="s">
        <v>112</v>
      </c>
      <c r="B28" s="6"/>
      <c r="C28" s="6"/>
      <c r="D28" s="94">
        <f aca="true" t="shared" si="0" ref="D28:J28">D26-D27</f>
        <v>423268.78849999997</v>
      </c>
      <c r="E28" s="18">
        <f t="shared" si="0"/>
        <v>202271.8029</v>
      </c>
      <c r="F28" s="17">
        <f t="shared" si="0"/>
        <v>243058.821</v>
      </c>
      <c r="G28" s="19">
        <f t="shared" si="0"/>
        <v>464358.388</v>
      </c>
      <c r="H28" s="89">
        <f t="shared" si="0"/>
        <v>701113.127</v>
      </c>
      <c r="I28" s="90">
        <f t="shared" si="0"/>
        <v>815126.412</v>
      </c>
      <c r="J28" s="109">
        <f t="shared" si="0"/>
        <v>1055539.1</v>
      </c>
      <c r="K28" s="158">
        <v>1607375.986</v>
      </c>
    </row>
    <row r="29" spans="1:11" ht="12" customHeight="1">
      <c r="A29" s="278"/>
      <c r="B29" s="279"/>
      <c r="C29" s="279"/>
      <c r="D29" s="280" t="s">
        <v>28</v>
      </c>
      <c r="E29" s="280"/>
      <c r="F29" s="280"/>
      <c r="G29" s="280"/>
      <c r="H29" s="280"/>
      <c r="I29" s="280"/>
      <c r="J29" s="280"/>
      <c r="K29" s="281"/>
    </row>
    <row r="30" spans="1:11" ht="12" customHeight="1">
      <c r="A30" s="151" t="s">
        <v>29</v>
      </c>
      <c r="B30" s="7"/>
      <c r="C30" s="7"/>
      <c r="D30" s="47"/>
      <c r="E30" s="7"/>
      <c r="F30" s="217"/>
      <c r="G30" s="65"/>
      <c r="H30" s="48"/>
      <c r="I30" s="92"/>
      <c r="J30" s="92"/>
      <c r="K30" s="159"/>
    </row>
    <row r="31" spans="1:11" ht="12" customHeight="1" thickBot="1">
      <c r="A31" s="160" t="s">
        <v>132</v>
      </c>
      <c r="B31" s="161"/>
      <c r="C31" s="161"/>
      <c r="D31" s="162">
        <f aca="true" t="shared" si="1" ref="D31:K31">D27/D26*100</f>
        <v>13.413407725585666</v>
      </c>
      <c r="E31" s="163">
        <f t="shared" si="1"/>
        <v>18.696925431475936</v>
      </c>
      <c r="F31" s="218">
        <f t="shared" si="1"/>
        <v>15.510836781901938</v>
      </c>
      <c r="G31" s="234">
        <f t="shared" si="1"/>
        <v>7.431132383782026</v>
      </c>
      <c r="H31" s="231">
        <f t="shared" si="1"/>
        <v>4.300953874087201</v>
      </c>
      <c r="I31" s="235">
        <f t="shared" si="1"/>
        <v>4.166074494078138</v>
      </c>
      <c r="J31" s="235">
        <f t="shared" si="1"/>
        <v>2.869953226441985</v>
      </c>
      <c r="K31" s="164">
        <f t="shared" si="1"/>
        <v>1.7344880646172602</v>
      </c>
    </row>
    <row r="32" spans="1:10" s="91" customFormat="1" ht="12.75" customHeight="1" thickBot="1">
      <c r="A32" s="68"/>
      <c r="B32" s="63"/>
      <c r="C32" s="63"/>
      <c r="D32" s="63"/>
      <c r="E32" s="63"/>
      <c r="F32" s="63"/>
      <c r="G32" s="63"/>
      <c r="H32" s="63"/>
      <c r="I32" s="63"/>
      <c r="J32" s="84"/>
    </row>
    <row r="33" spans="1:11" ht="12" customHeight="1">
      <c r="A33" s="271" t="s">
        <v>30</v>
      </c>
      <c r="B33" s="272"/>
      <c r="C33" s="282"/>
      <c r="D33" s="146" t="s">
        <v>0</v>
      </c>
      <c r="E33" s="120" t="s">
        <v>1</v>
      </c>
      <c r="F33" s="120" t="s">
        <v>2</v>
      </c>
      <c r="G33" s="120" t="s">
        <v>3</v>
      </c>
      <c r="H33" s="120" t="s">
        <v>66</v>
      </c>
      <c r="I33" s="210" t="s">
        <v>67</v>
      </c>
      <c r="J33" s="210" t="s">
        <v>72</v>
      </c>
      <c r="K33" s="149" t="s">
        <v>74</v>
      </c>
    </row>
    <row r="34" spans="1:11" ht="12" customHeight="1">
      <c r="A34" s="273"/>
      <c r="B34" s="274"/>
      <c r="C34" s="283"/>
      <c r="D34" s="275" t="s">
        <v>31</v>
      </c>
      <c r="E34" s="262"/>
      <c r="F34" s="262"/>
      <c r="G34" s="262"/>
      <c r="H34" s="262"/>
      <c r="I34" s="262"/>
      <c r="J34" s="262"/>
      <c r="K34" s="263"/>
    </row>
    <row r="35" spans="1:11" ht="12" customHeight="1">
      <c r="A35" s="151" t="s">
        <v>114</v>
      </c>
      <c r="B35" s="7"/>
      <c r="C35" s="7"/>
      <c r="D35" s="25">
        <v>67.43</v>
      </c>
      <c r="E35" s="26">
        <v>66.1</v>
      </c>
      <c r="F35" s="219">
        <v>72</v>
      </c>
      <c r="G35" s="236">
        <v>87</v>
      </c>
      <c r="H35" s="11">
        <v>88</v>
      </c>
      <c r="I35" s="80">
        <v>89.8</v>
      </c>
      <c r="J35" s="237">
        <v>93.28</v>
      </c>
      <c r="K35" s="213">
        <v>95.8212864810898</v>
      </c>
    </row>
    <row r="36" spans="1:11" ht="12" customHeight="1">
      <c r="A36" s="151" t="s">
        <v>115</v>
      </c>
      <c r="B36" s="7"/>
      <c r="C36" s="7"/>
      <c r="D36" s="25">
        <v>21.16</v>
      </c>
      <c r="E36" s="26">
        <v>15</v>
      </c>
      <c r="F36" s="25">
        <v>7.2</v>
      </c>
      <c r="G36" s="236">
        <v>3</v>
      </c>
      <c r="H36" s="11">
        <v>5</v>
      </c>
      <c r="I36" s="80">
        <v>4.425294335146996</v>
      </c>
      <c r="J36" s="237">
        <v>2.14</v>
      </c>
      <c r="K36" s="214">
        <v>1.3694653597148543</v>
      </c>
    </row>
    <row r="37" spans="1:11" ht="12" customHeight="1">
      <c r="A37" s="150" t="s">
        <v>116</v>
      </c>
      <c r="B37" s="5"/>
      <c r="C37" s="5"/>
      <c r="D37" s="27">
        <v>11.34</v>
      </c>
      <c r="E37" s="28">
        <v>19</v>
      </c>
      <c r="F37" s="27">
        <f>SUM(F38:F40)</f>
        <v>20.4</v>
      </c>
      <c r="G37" s="238">
        <f>SUM(G38:G40)</f>
        <v>10</v>
      </c>
      <c r="H37" s="239">
        <f>H38+H39+H40</f>
        <v>7</v>
      </c>
      <c r="I37" s="240">
        <v>6.206097975744691</v>
      </c>
      <c r="J37" s="241">
        <v>4.55</v>
      </c>
      <c r="K37" s="215">
        <v>2.8092481591953344</v>
      </c>
    </row>
    <row r="38" spans="1:11" ht="12" customHeight="1">
      <c r="A38" s="151"/>
      <c r="B38" s="7" t="s">
        <v>117</v>
      </c>
      <c r="C38" s="7"/>
      <c r="D38" s="25">
        <v>4.44</v>
      </c>
      <c r="E38" s="26">
        <v>6.5</v>
      </c>
      <c r="F38" s="25">
        <v>4.8</v>
      </c>
      <c r="G38" s="236">
        <v>3</v>
      </c>
      <c r="H38" s="11">
        <v>3</v>
      </c>
      <c r="I38" s="80">
        <v>2.714672926594656</v>
      </c>
      <c r="J38" s="237">
        <v>2.54</v>
      </c>
      <c r="K38" s="214">
        <v>1.690423082002217</v>
      </c>
    </row>
    <row r="39" spans="1:11" ht="12" customHeight="1">
      <c r="A39" s="151"/>
      <c r="B39" s="7" t="s">
        <v>118</v>
      </c>
      <c r="C39" s="7"/>
      <c r="D39" s="25">
        <v>4.9</v>
      </c>
      <c r="E39" s="26">
        <v>10.1</v>
      </c>
      <c r="F39" s="25">
        <v>6.3</v>
      </c>
      <c r="G39" s="236">
        <v>2</v>
      </c>
      <c r="H39" s="11">
        <v>2</v>
      </c>
      <c r="I39" s="80">
        <v>2.0348518387739976</v>
      </c>
      <c r="J39" s="237">
        <v>1.06</v>
      </c>
      <c r="K39" s="214">
        <v>0.7069309668908338</v>
      </c>
    </row>
    <row r="40" spans="1:11" ht="12" customHeight="1">
      <c r="A40" s="151"/>
      <c r="B40" s="7" t="s">
        <v>119</v>
      </c>
      <c r="C40" s="7"/>
      <c r="D40" s="25">
        <v>2</v>
      </c>
      <c r="E40" s="26">
        <v>2.4</v>
      </c>
      <c r="F40" s="25">
        <v>9.3</v>
      </c>
      <c r="G40" s="236">
        <v>5</v>
      </c>
      <c r="H40" s="11">
        <v>2</v>
      </c>
      <c r="I40" s="80">
        <v>1.4565732103760383</v>
      </c>
      <c r="J40" s="237">
        <v>0.95</v>
      </c>
      <c r="K40" s="214">
        <v>0.4118941103022837</v>
      </c>
    </row>
    <row r="41" spans="1:42" ht="12" customHeight="1" thickBot="1">
      <c r="A41" s="165" t="s">
        <v>32</v>
      </c>
      <c r="B41" s="166"/>
      <c r="C41" s="167"/>
      <c r="D41" s="168">
        <v>99.93</v>
      </c>
      <c r="E41" s="169">
        <v>100.1</v>
      </c>
      <c r="F41" s="168">
        <f>SUM(F35:F37)</f>
        <v>99.6</v>
      </c>
      <c r="G41" s="170">
        <f>SUM(G35:G37)</f>
        <v>100</v>
      </c>
      <c r="H41" s="180">
        <f>H35+H36+H37</f>
        <v>100</v>
      </c>
      <c r="I41" s="242">
        <f>SUM(I35:I37)</f>
        <v>100.4313923108917</v>
      </c>
      <c r="J41" s="243">
        <f>SUM(J35:J37)</f>
        <v>99.97</v>
      </c>
      <c r="K41" s="216">
        <v>100</v>
      </c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</row>
    <row r="42" spans="1:42" s="91" customFormat="1" ht="15.75" thickBot="1">
      <c r="A42" s="68"/>
      <c r="B42" s="63"/>
      <c r="C42" s="63"/>
      <c r="D42" s="63"/>
      <c r="E42" s="63"/>
      <c r="F42" s="63"/>
      <c r="G42" s="63"/>
      <c r="H42" s="63"/>
      <c r="I42" s="63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</row>
    <row r="43" spans="1:11" ht="12" customHeight="1">
      <c r="A43" s="264" t="s">
        <v>120</v>
      </c>
      <c r="B43" s="265"/>
      <c r="C43" s="265"/>
      <c r="D43" s="146" t="s">
        <v>0</v>
      </c>
      <c r="E43" s="120" t="s">
        <v>1</v>
      </c>
      <c r="F43" s="120" t="s">
        <v>2</v>
      </c>
      <c r="G43" s="120" t="s">
        <v>3</v>
      </c>
      <c r="H43" s="120" t="s">
        <v>66</v>
      </c>
      <c r="I43" s="210" t="s">
        <v>67</v>
      </c>
      <c r="J43" s="210" t="s">
        <v>72</v>
      </c>
      <c r="K43" s="149" t="s">
        <v>74</v>
      </c>
    </row>
    <row r="44" spans="1:11" ht="12" customHeight="1">
      <c r="A44" s="266"/>
      <c r="B44" s="267"/>
      <c r="C44" s="267"/>
      <c r="D44" s="262" t="s">
        <v>71</v>
      </c>
      <c r="E44" s="262"/>
      <c r="F44" s="262"/>
      <c r="G44" s="262"/>
      <c r="H44" s="262"/>
      <c r="I44" s="262"/>
      <c r="J44" s="262"/>
      <c r="K44" s="263"/>
    </row>
    <row r="45" spans="1:11" ht="12" customHeight="1">
      <c r="A45" s="152" t="s">
        <v>121</v>
      </c>
      <c r="B45" s="4"/>
      <c r="C45" s="4"/>
      <c r="D45" s="14">
        <v>94144.247</v>
      </c>
      <c r="E45" s="15">
        <v>113372.7</v>
      </c>
      <c r="F45" s="117">
        <v>130917.889</v>
      </c>
      <c r="G45" s="70">
        <v>113014.246</v>
      </c>
      <c r="H45" s="70">
        <v>70486.2</v>
      </c>
      <c r="I45" s="80">
        <v>113405.985</v>
      </c>
      <c r="J45" s="80">
        <v>137974.738</v>
      </c>
      <c r="K45" s="124">
        <v>169858.348</v>
      </c>
    </row>
    <row r="46" spans="1:11" ht="12" customHeight="1">
      <c r="A46" s="152" t="s">
        <v>122</v>
      </c>
      <c r="B46" s="4"/>
      <c r="C46" s="4"/>
      <c r="D46" s="14">
        <v>4979.655</v>
      </c>
      <c r="E46" s="15">
        <v>20268.912</v>
      </c>
      <c r="F46" s="14">
        <v>63888.574</v>
      </c>
      <c r="G46" s="70">
        <v>186657.168</v>
      </c>
      <c r="H46" s="70">
        <f>96089+19611.7</f>
        <v>115700.7</v>
      </c>
      <c r="I46" s="80">
        <v>102124.274</v>
      </c>
      <c r="J46" s="80">
        <v>119253.893</v>
      </c>
      <c r="K46" s="124">
        <v>74414.806</v>
      </c>
    </row>
    <row r="47" spans="1:11" ht="12" customHeight="1" thickBot="1">
      <c r="A47" s="153" t="s">
        <v>123</v>
      </c>
      <c r="B47" s="166"/>
      <c r="C47" s="166"/>
      <c r="D47" s="171">
        <v>0</v>
      </c>
      <c r="E47" s="172">
        <v>139.19</v>
      </c>
      <c r="F47" s="155">
        <v>2879.983</v>
      </c>
      <c r="G47" s="231">
        <v>12916.688</v>
      </c>
      <c r="H47" s="231">
        <v>7697.1</v>
      </c>
      <c r="I47" s="244">
        <v>1956.503</v>
      </c>
      <c r="J47" s="244">
        <v>3155.343</v>
      </c>
      <c r="K47" s="173">
        <v>2971.387</v>
      </c>
    </row>
    <row r="48" spans="1:10" ht="12.75">
      <c r="A48" s="3"/>
      <c r="B48" s="3"/>
      <c r="C48" s="3"/>
      <c r="D48" s="3"/>
      <c r="E48" s="3"/>
      <c r="F48" s="3"/>
      <c r="G48" s="69"/>
      <c r="H48" s="69"/>
      <c r="I48" s="69"/>
      <c r="J48" s="69"/>
    </row>
    <row r="49" spans="1:10" ht="12.75">
      <c r="A49" s="3"/>
      <c r="B49" s="3"/>
      <c r="C49" s="3"/>
      <c r="D49" s="3"/>
      <c r="E49" s="3"/>
      <c r="F49" s="3"/>
      <c r="G49" s="69"/>
      <c r="H49" s="69"/>
      <c r="I49" s="69"/>
      <c r="J49" s="69"/>
    </row>
    <row r="50" spans="1:10" ht="12.75">
      <c r="A50" s="3"/>
      <c r="B50" s="3"/>
      <c r="C50" s="3"/>
      <c r="D50" s="3"/>
      <c r="E50" s="3"/>
      <c r="F50" s="3"/>
      <c r="G50" s="69"/>
      <c r="H50" s="69"/>
      <c r="I50" s="69"/>
      <c r="J50" s="69"/>
    </row>
    <row r="51" spans="1:10" ht="12.75">
      <c r="A51" s="3"/>
      <c r="B51" s="3"/>
      <c r="C51" s="3"/>
      <c r="D51" s="3"/>
      <c r="E51" s="3"/>
      <c r="F51" s="3"/>
      <c r="G51" s="69"/>
      <c r="H51" s="69"/>
      <c r="I51" s="69"/>
      <c r="J51" s="69"/>
    </row>
    <row r="52" spans="1:10" ht="12.75">
      <c r="A52" s="3"/>
      <c r="B52" s="3"/>
      <c r="C52" s="3"/>
      <c r="D52" s="3"/>
      <c r="E52" s="3"/>
      <c r="F52" s="3"/>
      <c r="G52" s="69"/>
      <c r="H52" s="69"/>
      <c r="I52" s="69"/>
      <c r="J52" s="69"/>
    </row>
    <row r="53" spans="1:10" ht="12.75">
      <c r="A53" s="3"/>
      <c r="B53" s="3"/>
      <c r="C53" s="3"/>
      <c r="D53" s="3"/>
      <c r="E53" s="3"/>
      <c r="F53" s="3"/>
      <c r="G53" s="69"/>
      <c r="H53" s="69"/>
      <c r="I53" s="69"/>
      <c r="J53" s="69"/>
    </row>
    <row r="54" spans="1:10" ht="12.75">
      <c r="A54" s="3"/>
      <c r="B54" s="3"/>
      <c r="C54" s="3"/>
      <c r="D54" s="3"/>
      <c r="E54" s="3"/>
      <c r="F54" s="3"/>
      <c r="G54" s="69"/>
      <c r="H54" s="69"/>
      <c r="I54" s="69"/>
      <c r="J54" s="69"/>
    </row>
    <row r="55" spans="1:10" ht="12.75">
      <c r="A55" s="3"/>
      <c r="B55" s="3"/>
      <c r="C55" s="3"/>
      <c r="D55" s="3"/>
      <c r="E55" s="3"/>
      <c r="F55" s="3"/>
      <c r="G55" s="69"/>
      <c r="H55" s="69"/>
      <c r="I55" s="69"/>
      <c r="J55" s="69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3"/>
      <c r="B244" s="3"/>
      <c r="C244" s="3"/>
      <c r="D244" s="3"/>
      <c r="E244" s="3"/>
      <c r="F244" s="3"/>
    </row>
    <row r="245" spans="1:6" ht="12.75">
      <c r="A245" s="3"/>
      <c r="B245" s="3"/>
      <c r="C245" s="3"/>
      <c r="D245" s="3"/>
      <c r="E245" s="3"/>
      <c r="F245" s="3"/>
    </row>
  </sheetData>
  <mergeCells count="11">
    <mergeCell ref="D44:K44"/>
    <mergeCell ref="A43:C44"/>
    <mergeCell ref="A1:K1"/>
    <mergeCell ref="A29:C29"/>
    <mergeCell ref="D29:K29"/>
    <mergeCell ref="A33:C34"/>
    <mergeCell ref="D34:K34"/>
    <mergeCell ref="A2:C3"/>
    <mergeCell ref="D3:K3"/>
    <mergeCell ref="D25:K25"/>
    <mergeCell ref="A24:C25"/>
  </mergeCells>
  <printOptions/>
  <pageMargins left="0.4" right="0.17" top="0.24" bottom="0.27" header="0.19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15"/>
  <sheetViews>
    <sheetView workbookViewId="0" topLeftCell="A1">
      <pane xSplit="2" ySplit="1" topLeftCell="C2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E42" sqref="E42"/>
    </sheetView>
  </sheetViews>
  <sheetFormatPr defaultColWidth="9.00390625" defaultRowHeight="12.75"/>
  <cols>
    <col min="1" max="1" width="3.875" style="0" customWidth="1"/>
    <col min="2" max="2" width="35.375" style="0" customWidth="1"/>
    <col min="7" max="8" width="9.125" style="78" customWidth="1"/>
  </cols>
  <sheetData>
    <row r="1" spans="1:10" s="91" customFormat="1" ht="26.25" customHeight="1" thickBot="1">
      <c r="A1" s="277" t="s">
        <v>176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2.75" customHeight="1">
      <c r="A2" s="271" t="s">
        <v>16</v>
      </c>
      <c r="B2" s="272"/>
      <c r="C2" s="120" t="s">
        <v>0</v>
      </c>
      <c r="D2" s="120" t="s">
        <v>1</v>
      </c>
      <c r="E2" s="120" t="s">
        <v>2</v>
      </c>
      <c r="F2" s="120" t="s">
        <v>3</v>
      </c>
      <c r="G2" s="120" t="s">
        <v>66</v>
      </c>
      <c r="H2" s="147" t="s">
        <v>67</v>
      </c>
      <c r="I2" s="147" t="s">
        <v>72</v>
      </c>
      <c r="J2" s="209" t="s">
        <v>74</v>
      </c>
    </row>
    <row r="3" spans="1:10" ht="12.75">
      <c r="A3" s="273"/>
      <c r="B3" s="274"/>
      <c r="C3" s="275" t="s">
        <v>71</v>
      </c>
      <c r="D3" s="262"/>
      <c r="E3" s="262"/>
      <c r="F3" s="262"/>
      <c r="G3" s="262"/>
      <c r="H3" s="262"/>
      <c r="I3" s="262"/>
      <c r="J3" s="263"/>
    </row>
    <row r="4" spans="1:10" ht="12.75">
      <c r="A4" s="150" t="s">
        <v>16</v>
      </c>
      <c r="B4" s="5"/>
      <c r="C4" s="17">
        <v>625069.94</v>
      </c>
      <c r="D4" s="18">
        <v>529927.341</v>
      </c>
      <c r="E4" s="17">
        <v>685962.991</v>
      </c>
      <c r="F4" s="18">
        <v>1080234.348</v>
      </c>
      <c r="G4" s="248">
        <f>G5+G11</f>
        <v>1042408.7</v>
      </c>
      <c r="H4" s="248">
        <v>1290749.62</v>
      </c>
      <c r="I4" s="248">
        <v>1864575.3</v>
      </c>
      <c r="J4" s="254">
        <v>2329716.714</v>
      </c>
    </row>
    <row r="5" spans="1:10" ht="12.75">
      <c r="A5" s="151"/>
      <c r="B5" s="5" t="s">
        <v>124</v>
      </c>
      <c r="C5" s="17">
        <v>498556.153</v>
      </c>
      <c r="D5" s="18">
        <v>376267.613</v>
      </c>
      <c r="E5" s="17">
        <v>393112.75</v>
      </c>
      <c r="F5" s="18">
        <v>614465.477</v>
      </c>
      <c r="G5" s="248">
        <f>SUM(G6:G10)</f>
        <v>649851.2</v>
      </c>
      <c r="H5" s="248">
        <v>673964.062</v>
      </c>
      <c r="I5" s="248">
        <v>896741.202</v>
      </c>
      <c r="J5" s="254">
        <v>1121757.093</v>
      </c>
    </row>
    <row r="6" spans="1:10" ht="12.75">
      <c r="A6" s="152"/>
      <c r="B6" s="8" t="s">
        <v>125</v>
      </c>
      <c r="C6" s="14">
        <v>30230.916</v>
      </c>
      <c r="D6" s="15">
        <v>61853.753</v>
      </c>
      <c r="E6" s="14">
        <v>28916.08</v>
      </c>
      <c r="F6" s="15">
        <v>76055.884</v>
      </c>
      <c r="G6" s="70">
        <f>28539.6+4286.7+30074.4+4412.6+0.1</f>
        <v>67313.40000000001</v>
      </c>
      <c r="H6" s="70">
        <v>54513.469</v>
      </c>
      <c r="I6" s="70">
        <v>49078.434</v>
      </c>
      <c r="J6" s="230">
        <v>66514.652</v>
      </c>
    </row>
    <row r="7" spans="1:10" ht="12.75">
      <c r="A7" s="152"/>
      <c r="B7" s="8" t="s">
        <v>95</v>
      </c>
      <c r="C7" s="14">
        <v>54962.934</v>
      </c>
      <c r="D7" s="15">
        <v>49239.04</v>
      </c>
      <c r="E7" s="14">
        <v>53894.869</v>
      </c>
      <c r="F7" s="15">
        <v>76561.971</v>
      </c>
      <c r="G7" s="70">
        <f>220.8+10.2+45732.3+20108.8+13.8</f>
        <v>66085.90000000001</v>
      </c>
      <c r="H7" s="70">
        <v>58471.001</v>
      </c>
      <c r="I7" s="70">
        <v>84689.666</v>
      </c>
      <c r="J7" s="230">
        <v>86031.834</v>
      </c>
    </row>
    <row r="8" spans="1:10" ht="12.75">
      <c r="A8" s="152"/>
      <c r="B8" s="8" t="s">
        <v>97</v>
      </c>
      <c r="C8" s="14">
        <v>268259.367</v>
      </c>
      <c r="D8" s="15">
        <v>110367.589</v>
      </c>
      <c r="E8" s="14">
        <v>120281.91</v>
      </c>
      <c r="F8" s="15">
        <v>181995.506</v>
      </c>
      <c r="G8" s="70">
        <f>111682.7+105723.3+19.9-315.8</f>
        <v>217110.1</v>
      </c>
      <c r="H8" s="70">
        <v>247529.631</v>
      </c>
      <c r="I8" s="70">
        <v>395956.666</v>
      </c>
      <c r="J8" s="230">
        <v>557391.85</v>
      </c>
    </row>
    <row r="9" spans="1:10" ht="12.75">
      <c r="A9" s="152"/>
      <c r="B9" s="8" t="s">
        <v>96</v>
      </c>
      <c r="C9" s="14">
        <v>140299.706</v>
      </c>
      <c r="D9" s="15">
        <v>148785.111</v>
      </c>
      <c r="E9" s="14">
        <v>180915.991</v>
      </c>
      <c r="F9" s="15">
        <v>269242.663</v>
      </c>
      <c r="G9" s="70">
        <f>6206.2+10962.4+88.9+146337.9+122626.7+1514.1</f>
        <v>287736.19999999995</v>
      </c>
      <c r="H9" s="70">
        <v>301991.895</v>
      </c>
      <c r="I9" s="70">
        <v>352937.605</v>
      </c>
      <c r="J9" s="230">
        <v>395304.577</v>
      </c>
    </row>
    <row r="10" spans="1:10" ht="12.75">
      <c r="A10" s="152"/>
      <c r="B10" s="8" t="s">
        <v>98</v>
      </c>
      <c r="C10" s="14">
        <v>4803.23</v>
      </c>
      <c r="D10" s="15">
        <v>6022.12</v>
      </c>
      <c r="E10" s="14">
        <v>9103.9</v>
      </c>
      <c r="F10" s="15">
        <v>10609.453</v>
      </c>
      <c r="G10" s="70">
        <f>6712.8+4890.4+2.4</f>
        <v>11605.6</v>
      </c>
      <c r="H10" s="70">
        <v>11458.066</v>
      </c>
      <c r="I10" s="70">
        <v>14078.831</v>
      </c>
      <c r="J10" s="230">
        <v>16514.18</v>
      </c>
    </row>
    <row r="11" spans="1:10" ht="12.75">
      <c r="A11" s="152"/>
      <c r="B11" s="5" t="s">
        <v>126</v>
      </c>
      <c r="C11" s="17">
        <v>126513.787</v>
      </c>
      <c r="D11" s="18">
        <v>153659.728</v>
      </c>
      <c r="E11" s="17">
        <v>292850.241</v>
      </c>
      <c r="F11" s="18">
        <v>465768.871</v>
      </c>
      <c r="G11" s="248">
        <f>SUM(G12:G16)</f>
        <v>392557.5</v>
      </c>
      <c r="H11" s="248">
        <v>616785.558</v>
      </c>
      <c r="I11" s="248">
        <v>967834.098</v>
      </c>
      <c r="J11" s="254">
        <v>1207959.621</v>
      </c>
    </row>
    <row r="12" spans="1:10" ht="12.75">
      <c r="A12" s="152"/>
      <c r="B12" s="8" t="s">
        <v>125</v>
      </c>
      <c r="C12" s="14">
        <v>578.674</v>
      </c>
      <c r="D12" s="15">
        <v>475.517</v>
      </c>
      <c r="E12" s="14">
        <v>3348.904</v>
      </c>
      <c r="F12" s="15">
        <v>1275.914</v>
      </c>
      <c r="G12" s="70">
        <f>2413.5+407.5</f>
        <v>2821</v>
      </c>
      <c r="H12" s="70">
        <v>514.07</v>
      </c>
      <c r="I12" s="70">
        <v>741.755</v>
      </c>
      <c r="J12" s="230">
        <v>1004.879</v>
      </c>
    </row>
    <row r="13" spans="1:10" ht="12.75">
      <c r="A13" s="152"/>
      <c r="B13" s="8" t="s">
        <v>95</v>
      </c>
      <c r="C13" s="14">
        <v>215.326</v>
      </c>
      <c r="D13" s="15">
        <v>194.401</v>
      </c>
      <c r="E13" s="14">
        <v>177.261</v>
      </c>
      <c r="F13" s="15">
        <v>7.63</v>
      </c>
      <c r="G13" s="70">
        <f>21.9+110.2</f>
        <v>132.1</v>
      </c>
      <c r="H13" s="70">
        <v>87.084</v>
      </c>
      <c r="I13" s="70">
        <v>186.503</v>
      </c>
      <c r="J13" s="230">
        <v>120.103</v>
      </c>
    </row>
    <row r="14" spans="1:10" ht="12.75">
      <c r="A14" s="152"/>
      <c r="B14" s="8" t="s">
        <v>97</v>
      </c>
      <c r="C14" s="14">
        <v>49791.635</v>
      </c>
      <c r="D14" s="15">
        <v>64353.031</v>
      </c>
      <c r="E14" s="14">
        <v>61250.976</v>
      </c>
      <c r="F14" s="15">
        <v>78931.806</v>
      </c>
      <c r="G14" s="70">
        <f>1969+47698.4+1149.2</f>
        <v>50816.6</v>
      </c>
      <c r="H14" s="70">
        <v>70397.938</v>
      </c>
      <c r="I14" s="70">
        <v>121141.759</v>
      </c>
      <c r="J14" s="230">
        <v>139009.518</v>
      </c>
    </row>
    <row r="15" spans="1:10" ht="12.75">
      <c r="A15" s="152"/>
      <c r="B15" s="8" t="s">
        <v>96</v>
      </c>
      <c r="C15" s="14">
        <v>75853.489</v>
      </c>
      <c r="D15" s="15">
        <v>88454.737</v>
      </c>
      <c r="E15" s="14">
        <v>227632.312</v>
      </c>
      <c r="F15" s="15">
        <v>384923.426</v>
      </c>
      <c r="G15" s="70">
        <f>2245.4+21739.8+22.1+3345.2+298112.8+12679.6</f>
        <v>338144.89999999997</v>
      </c>
      <c r="H15" s="70">
        <v>545334.869</v>
      </c>
      <c r="I15" s="70">
        <v>844905.96</v>
      </c>
      <c r="J15" s="230">
        <v>1066983.849</v>
      </c>
    </row>
    <row r="16" spans="1:10" ht="12.75">
      <c r="A16" s="152"/>
      <c r="B16" s="8" t="s">
        <v>98</v>
      </c>
      <c r="C16" s="14">
        <v>74.663</v>
      </c>
      <c r="D16" s="15">
        <v>182.042</v>
      </c>
      <c r="E16" s="14">
        <v>440.788</v>
      </c>
      <c r="F16" s="15">
        <v>630.095</v>
      </c>
      <c r="G16" s="70">
        <f>141.5+501.4</f>
        <v>642.9</v>
      </c>
      <c r="H16" s="70">
        <v>451.597</v>
      </c>
      <c r="I16" s="70">
        <v>858.121</v>
      </c>
      <c r="J16" s="230">
        <v>841.272</v>
      </c>
    </row>
    <row r="17" spans="1:10" ht="12.75">
      <c r="A17" s="152"/>
      <c r="B17" s="4" t="s">
        <v>105</v>
      </c>
      <c r="C17" s="14">
        <v>363034.551</v>
      </c>
      <c r="D17" s="15">
        <v>448468.944</v>
      </c>
      <c r="E17" s="14">
        <v>601012.185</v>
      </c>
      <c r="F17" s="15">
        <v>891723.613</v>
      </c>
      <c r="G17" s="70">
        <v>780909.8</v>
      </c>
      <c r="H17" s="70">
        <v>881366.046</v>
      </c>
      <c r="I17" s="70">
        <v>1214219.873</v>
      </c>
      <c r="J17" s="230">
        <v>1587271.373</v>
      </c>
    </row>
    <row r="18" spans="1:10" ht="12.75">
      <c r="A18" s="152"/>
      <c r="B18" s="4" t="s">
        <v>106</v>
      </c>
      <c r="C18" s="14">
        <v>105298.862</v>
      </c>
      <c r="D18" s="15">
        <v>58688.766</v>
      </c>
      <c r="E18" s="14">
        <v>70216.912</v>
      </c>
      <c r="F18" s="15">
        <v>164840.681</v>
      </c>
      <c r="G18" s="70">
        <f>98910.7+55369+65594.1-315.8</f>
        <v>219558.00000000003</v>
      </c>
      <c r="H18" s="70">
        <v>362731.673</v>
      </c>
      <c r="I18" s="70">
        <v>540159.478</v>
      </c>
      <c r="J18" s="230">
        <v>590847.882</v>
      </c>
    </row>
    <row r="19" spans="1:10" ht="12.75">
      <c r="A19" s="152"/>
      <c r="B19" s="4" t="s">
        <v>127</v>
      </c>
      <c r="C19" s="14">
        <v>154784.996</v>
      </c>
      <c r="D19" s="15">
        <v>20473.913</v>
      </c>
      <c r="E19" s="14">
        <v>8743.165</v>
      </c>
      <c r="F19" s="15">
        <v>15626.236</v>
      </c>
      <c r="G19" s="70">
        <v>30204.8</v>
      </c>
      <c r="H19" s="70">
        <v>36069.781</v>
      </c>
      <c r="I19" s="70">
        <v>94208.347</v>
      </c>
      <c r="J19" s="182">
        <v>128753.478</v>
      </c>
    </row>
    <row r="20" spans="1:10" ht="13.5" thickBot="1">
      <c r="A20" s="153"/>
      <c r="B20" s="154" t="s">
        <v>108</v>
      </c>
      <c r="C20" s="155">
        <v>1951.531</v>
      </c>
      <c r="D20" s="156">
        <v>2295.718</v>
      </c>
      <c r="E20" s="155">
        <v>5990.729</v>
      </c>
      <c r="F20" s="156">
        <v>8043.818</v>
      </c>
      <c r="G20" s="231">
        <v>11736.7</v>
      </c>
      <c r="H20" s="231">
        <v>10582.12</v>
      </c>
      <c r="I20" s="232">
        <v>15987.602</v>
      </c>
      <c r="J20" s="233">
        <v>22843.981</v>
      </c>
    </row>
    <row r="21" spans="1:5" ht="13.5" thickBot="1">
      <c r="A21" s="1"/>
      <c r="B21" s="1"/>
      <c r="C21" s="1"/>
      <c r="D21" s="1"/>
      <c r="E21" s="1"/>
    </row>
    <row r="22" spans="1:10" ht="12.75" customHeight="1">
      <c r="A22" s="264" t="s">
        <v>22</v>
      </c>
      <c r="B22" s="265"/>
      <c r="C22" s="146" t="s">
        <v>0</v>
      </c>
      <c r="D22" s="120" t="s">
        <v>1</v>
      </c>
      <c r="E22" s="120" t="s">
        <v>2</v>
      </c>
      <c r="F22" s="120" t="s">
        <v>3</v>
      </c>
      <c r="G22" s="139" t="s">
        <v>66</v>
      </c>
      <c r="H22" s="121" t="s">
        <v>67</v>
      </c>
      <c r="I22" s="121" t="s">
        <v>72</v>
      </c>
      <c r="J22" s="140" t="s">
        <v>74</v>
      </c>
    </row>
    <row r="23" spans="1:10" ht="12.75">
      <c r="A23" s="266"/>
      <c r="B23" s="267"/>
      <c r="C23" s="262" t="s">
        <v>71</v>
      </c>
      <c r="D23" s="262"/>
      <c r="E23" s="262"/>
      <c r="F23" s="262"/>
      <c r="G23" s="262"/>
      <c r="H23" s="262"/>
      <c r="I23" s="262"/>
      <c r="J23" s="263"/>
    </row>
    <row r="24" spans="1:10" ht="12.75">
      <c r="A24" s="151" t="s">
        <v>33</v>
      </c>
      <c r="B24" s="7"/>
      <c r="C24" s="14">
        <v>121117.798</v>
      </c>
      <c r="D24" s="15">
        <v>91945.37</v>
      </c>
      <c r="E24" s="117">
        <v>115398.996</v>
      </c>
      <c r="F24" s="15">
        <v>154316.638</v>
      </c>
      <c r="G24" s="70">
        <f>199974.2-126.4</f>
        <v>199847.80000000002</v>
      </c>
      <c r="H24" s="70">
        <v>208455.699</v>
      </c>
      <c r="I24" s="110">
        <v>201592.846</v>
      </c>
      <c r="J24" s="255">
        <v>236986.117</v>
      </c>
    </row>
    <row r="25" spans="1:10" ht="12.75">
      <c r="A25" s="151"/>
      <c r="B25" s="7" t="s">
        <v>128</v>
      </c>
      <c r="C25" s="14">
        <v>90512.637</v>
      </c>
      <c r="D25" s="15">
        <v>66488.317</v>
      </c>
      <c r="E25" s="14">
        <v>82798.967</v>
      </c>
      <c r="F25" s="15">
        <v>62495.303</v>
      </c>
      <c r="G25" s="70">
        <f>64677.2-126.4</f>
        <v>64550.799999999996</v>
      </c>
      <c r="H25" s="70">
        <v>70371.924</v>
      </c>
      <c r="I25" s="110">
        <v>60909.722</v>
      </c>
      <c r="J25" s="230">
        <v>76216.939</v>
      </c>
    </row>
    <row r="26" spans="1:10" ht="12.75">
      <c r="A26" s="151"/>
      <c r="B26" s="7" t="s">
        <v>129</v>
      </c>
      <c r="C26" s="14">
        <v>30605.161</v>
      </c>
      <c r="D26" s="15">
        <v>25457.053</v>
      </c>
      <c r="E26" s="14">
        <v>32600.029</v>
      </c>
      <c r="F26" s="15">
        <v>91821.335</v>
      </c>
      <c r="G26" s="70">
        <f>G24-G25</f>
        <v>135297.00000000003</v>
      </c>
      <c r="H26" s="70">
        <v>138083.775</v>
      </c>
      <c r="I26" s="110">
        <v>140683.124</v>
      </c>
      <c r="J26" s="230">
        <v>160769.178</v>
      </c>
    </row>
    <row r="27" spans="1:10" ht="12.75">
      <c r="A27" s="151" t="s">
        <v>34</v>
      </c>
      <c r="B27" s="7"/>
      <c r="C27" s="14">
        <v>1462.338</v>
      </c>
      <c r="D27" s="15">
        <v>1914.749</v>
      </c>
      <c r="E27" s="14">
        <v>3853.085</v>
      </c>
      <c r="F27" s="15">
        <v>5842.103</v>
      </c>
      <c r="G27" s="70">
        <f>8023.1-8.2</f>
        <v>8014.900000000001</v>
      </c>
      <c r="H27" s="70">
        <v>46859.737</v>
      </c>
      <c r="I27" s="110">
        <v>48476.196</v>
      </c>
      <c r="J27" s="230">
        <v>52391.496</v>
      </c>
    </row>
    <row r="28" spans="1:10" ht="12.75">
      <c r="A28" s="151" t="s">
        <v>35</v>
      </c>
      <c r="B28" s="7"/>
      <c r="C28" s="14">
        <v>18736.322</v>
      </c>
      <c r="D28" s="15">
        <v>22625.842</v>
      </c>
      <c r="E28" s="14">
        <v>25881.328</v>
      </c>
      <c r="F28" s="15">
        <v>27600.758</v>
      </c>
      <c r="G28" s="70">
        <f>9356.7-13.4</f>
        <v>9343.300000000001</v>
      </c>
      <c r="H28" s="70">
        <v>7954.841</v>
      </c>
      <c r="I28" s="110">
        <v>8496.023</v>
      </c>
      <c r="J28" s="230">
        <v>10188.758</v>
      </c>
    </row>
    <row r="29" spans="1:10" ht="12.75">
      <c r="A29" s="151" t="s">
        <v>36</v>
      </c>
      <c r="B29" s="7"/>
      <c r="C29" s="11" t="s">
        <v>12</v>
      </c>
      <c r="D29" s="10" t="s">
        <v>12</v>
      </c>
      <c r="E29" s="11" t="s">
        <v>12</v>
      </c>
      <c r="F29" s="15">
        <v>476.541</v>
      </c>
      <c r="G29" s="70">
        <v>0</v>
      </c>
      <c r="H29" s="70">
        <v>0</v>
      </c>
      <c r="I29" s="110">
        <v>231.671</v>
      </c>
      <c r="J29" s="230">
        <v>0</v>
      </c>
    </row>
    <row r="30" spans="1:10" ht="12.75">
      <c r="A30" s="151" t="s">
        <v>37</v>
      </c>
      <c r="B30" s="7"/>
      <c r="C30" s="11">
        <v>-6819.189</v>
      </c>
      <c r="D30" s="30">
        <v>-19657.713</v>
      </c>
      <c r="E30" s="14">
        <v>-27619.317</v>
      </c>
      <c r="F30" s="15">
        <v>-16338.716</v>
      </c>
      <c r="G30" s="70">
        <v>5553.2</v>
      </c>
      <c r="H30" s="70">
        <v>-93993.71</v>
      </c>
      <c r="I30" s="110">
        <v>-74613.851</v>
      </c>
      <c r="J30" s="230">
        <v>-43593.645</v>
      </c>
    </row>
    <row r="31" spans="1:10" ht="12.75">
      <c r="A31" s="151" t="s">
        <v>38</v>
      </c>
      <c r="B31" s="7"/>
      <c r="C31" s="11">
        <v>-7787.923</v>
      </c>
      <c r="D31" s="30">
        <v>5404.956</v>
      </c>
      <c r="E31" s="14">
        <v>30027.332</v>
      </c>
      <c r="F31" s="15">
        <v>46030.935</v>
      </c>
      <c r="G31" s="70">
        <f>-28437-11</f>
        <v>-28448</v>
      </c>
      <c r="H31" s="70">
        <v>17949.01</v>
      </c>
      <c r="I31" s="110">
        <v>38305.34</v>
      </c>
      <c r="J31" s="230">
        <v>49566</v>
      </c>
    </row>
    <row r="32" spans="1:10" ht="12.75">
      <c r="A32" s="151" t="s">
        <v>39</v>
      </c>
      <c r="B32" s="7"/>
      <c r="C32" s="11">
        <v>0</v>
      </c>
      <c r="D32" s="10">
        <v>839.403</v>
      </c>
      <c r="E32" s="11">
        <v>1125.837</v>
      </c>
      <c r="F32" s="15">
        <v>1602.928</v>
      </c>
      <c r="G32" s="70">
        <v>1859.9</v>
      </c>
      <c r="H32" s="70">
        <v>5352.457</v>
      </c>
      <c r="I32" s="110">
        <v>5383.456</v>
      </c>
      <c r="J32" s="230">
        <v>2926.314</v>
      </c>
    </row>
    <row r="33" spans="1:10" ht="13.5" thickBot="1">
      <c r="A33" s="174" t="s">
        <v>130</v>
      </c>
      <c r="B33" s="175"/>
      <c r="C33" s="176">
        <v>126709.346</v>
      </c>
      <c r="D33" s="177">
        <v>103072.607</v>
      </c>
      <c r="E33" s="176">
        <v>148667.261</v>
      </c>
      <c r="F33" s="177">
        <v>219531.187</v>
      </c>
      <c r="G33" s="223">
        <f>G24+G27+G28+G29+G30+G31+G32</f>
        <v>196171.1</v>
      </c>
      <c r="H33" s="223">
        <f>H24+H27+H28+H29+H30+H31+H32</f>
        <v>192578.03399999999</v>
      </c>
      <c r="I33" s="224">
        <v>227871.681</v>
      </c>
      <c r="J33" s="225">
        <v>308465</v>
      </c>
    </row>
    <row r="34" spans="1:10" ht="13.5" thickBot="1">
      <c r="A34" s="3"/>
      <c r="B34" s="3"/>
      <c r="C34" s="3"/>
      <c r="D34" s="3"/>
      <c r="E34" s="3"/>
      <c r="G34" s="69"/>
      <c r="H34" s="69"/>
      <c r="I34" s="69"/>
      <c r="J34" s="69"/>
    </row>
    <row r="35" spans="1:10" ht="12.75" customHeight="1">
      <c r="A35" s="264" t="s">
        <v>40</v>
      </c>
      <c r="B35" s="265"/>
      <c r="C35" s="146" t="s">
        <v>0</v>
      </c>
      <c r="D35" s="120" t="s">
        <v>1</v>
      </c>
      <c r="E35" s="120" t="s">
        <v>2</v>
      </c>
      <c r="F35" s="120" t="s">
        <v>3</v>
      </c>
      <c r="G35" s="120" t="s">
        <v>66</v>
      </c>
      <c r="H35" s="147" t="s">
        <v>67</v>
      </c>
      <c r="I35" s="147" t="s">
        <v>72</v>
      </c>
      <c r="J35" s="209" t="s">
        <v>74</v>
      </c>
    </row>
    <row r="36" spans="1:10" ht="12.75">
      <c r="A36" s="266"/>
      <c r="B36" s="267"/>
      <c r="C36" s="262" t="s">
        <v>71</v>
      </c>
      <c r="D36" s="262"/>
      <c r="E36" s="262"/>
      <c r="F36" s="262"/>
      <c r="G36" s="262"/>
      <c r="H36" s="262"/>
      <c r="I36" s="262"/>
      <c r="J36" s="263"/>
    </row>
    <row r="37" spans="1:10" ht="12.75">
      <c r="A37" s="151" t="s">
        <v>41</v>
      </c>
      <c r="B37" s="7"/>
      <c r="C37" s="14">
        <v>14431.331</v>
      </c>
      <c r="D37" s="15">
        <v>6037.561</v>
      </c>
      <c r="E37" s="117">
        <v>9360.492</v>
      </c>
      <c r="F37" s="15">
        <v>17507.77</v>
      </c>
      <c r="G37" s="70">
        <v>21303</v>
      </c>
      <c r="H37" s="70">
        <v>59228.157</v>
      </c>
      <c r="I37" s="110">
        <v>38736.992</v>
      </c>
      <c r="J37" s="230">
        <v>48402.467</v>
      </c>
    </row>
    <row r="38" spans="1:10" s="59" customFormat="1" ht="12.75">
      <c r="A38" s="179" t="s">
        <v>131</v>
      </c>
      <c r="B38" s="56"/>
      <c r="C38" s="57">
        <v>16594.86</v>
      </c>
      <c r="D38" s="58">
        <v>13752.346</v>
      </c>
      <c r="E38" s="57">
        <v>68741.334</v>
      </c>
      <c r="F38" s="58">
        <v>82302.299</v>
      </c>
      <c r="G38" s="80">
        <v>112192.9</v>
      </c>
      <c r="H38" s="80">
        <v>89004.423</v>
      </c>
      <c r="I38" s="110">
        <v>151297.037</v>
      </c>
      <c r="J38" s="126">
        <v>200708.355</v>
      </c>
    </row>
    <row r="39" spans="1:10" ht="13.5" thickBot="1">
      <c r="A39" s="160" t="s">
        <v>42</v>
      </c>
      <c r="B39" s="161"/>
      <c r="C39" s="180" t="s">
        <v>12</v>
      </c>
      <c r="D39" s="180" t="s">
        <v>12</v>
      </c>
      <c r="E39" s="180" t="s">
        <v>12</v>
      </c>
      <c r="F39" s="156">
        <v>435406.407</v>
      </c>
      <c r="G39" s="231">
        <f>505986.1/2</f>
        <v>252993.05</v>
      </c>
      <c r="H39" s="231">
        <v>238136.7565</v>
      </c>
      <c r="I39" s="232">
        <v>483948.099</v>
      </c>
      <c r="J39" s="233">
        <v>985040.483</v>
      </c>
    </row>
    <row r="40" spans="1:10" ht="12.75">
      <c r="A40" s="3"/>
      <c r="B40" s="3"/>
      <c r="C40" s="3"/>
      <c r="D40" s="3"/>
      <c r="E40" s="3"/>
      <c r="G40" s="69"/>
      <c r="H40" s="69"/>
      <c r="I40" s="69"/>
      <c r="J40" s="69"/>
    </row>
    <row r="41" spans="1:10" ht="12.75">
      <c r="A41" s="3"/>
      <c r="B41" s="3"/>
      <c r="C41" s="3"/>
      <c r="D41" s="3"/>
      <c r="E41" s="3"/>
      <c r="G41" s="69"/>
      <c r="H41" s="69"/>
      <c r="I41" s="69"/>
      <c r="J41" s="69"/>
    </row>
    <row r="42" spans="1:42" ht="12.75">
      <c r="A42" s="3"/>
      <c r="B42" s="3"/>
      <c r="C42" s="77"/>
      <c r="D42" s="77"/>
      <c r="E42" s="77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</row>
    <row r="43" spans="1:42" ht="12.75">
      <c r="A43" s="3"/>
      <c r="B43" s="3"/>
      <c r="C43" s="77"/>
      <c r="D43" s="77"/>
      <c r="E43" s="77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</row>
    <row r="44" spans="1:42" ht="12.75">
      <c r="A44" s="3"/>
      <c r="B44" s="3"/>
      <c r="C44" s="77"/>
      <c r="D44" s="77"/>
      <c r="E44" s="77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</row>
    <row r="45" spans="1:42" ht="12.75">
      <c r="A45" s="3"/>
      <c r="B45" s="3"/>
      <c r="C45" s="77"/>
      <c r="D45" s="77"/>
      <c r="E45" s="77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</row>
    <row r="46" spans="1:42" ht="12.75">
      <c r="A46" s="3"/>
      <c r="B46" s="3"/>
      <c r="C46" s="77"/>
      <c r="D46" s="77"/>
      <c r="E46" s="77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</row>
    <row r="47" spans="1:42" ht="12.75">
      <c r="A47" s="3"/>
      <c r="B47" s="3"/>
      <c r="C47" s="77"/>
      <c r="D47" s="77"/>
      <c r="E47" s="77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</row>
    <row r="48" spans="1:10" ht="12.75">
      <c r="A48" s="3"/>
      <c r="B48" s="3"/>
      <c r="C48" s="3"/>
      <c r="D48" s="3"/>
      <c r="E48" s="3"/>
      <c r="G48" s="69"/>
      <c r="H48" s="69"/>
      <c r="I48" s="69"/>
      <c r="J48" s="69"/>
    </row>
    <row r="49" spans="1:10" ht="12.75">
      <c r="A49" s="3"/>
      <c r="B49" s="3"/>
      <c r="C49" s="3"/>
      <c r="D49" s="3"/>
      <c r="E49" s="3"/>
      <c r="G49" s="69"/>
      <c r="H49" s="69"/>
      <c r="I49" s="69"/>
      <c r="J49" s="69"/>
    </row>
    <row r="50" spans="1:10" ht="12.75">
      <c r="A50" s="3"/>
      <c r="B50" s="3"/>
      <c r="C50" s="3"/>
      <c r="D50" s="3"/>
      <c r="E50" s="3"/>
      <c r="G50" s="69"/>
      <c r="H50" s="69"/>
      <c r="I50" s="69"/>
      <c r="J50" s="69"/>
    </row>
    <row r="51" spans="1:10" ht="12.75">
      <c r="A51" s="3"/>
      <c r="B51" s="3"/>
      <c r="C51" s="3"/>
      <c r="D51" s="3"/>
      <c r="E51" s="3"/>
      <c r="G51" s="69"/>
      <c r="H51" s="69"/>
      <c r="I51" s="69"/>
      <c r="J51" s="69"/>
    </row>
    <row r="52" spans="1:10" ht="12.75">
      <c r="A52" s="3"/>
      <c r="B52" s="3"/>
      <c r="C52" s="3"/>
      <c r="D52" s="3"/>
      <c r="E52" s="3"/>
      <c r="G52" s="69"/>
      <c r="H52" s="69"/>
      <c r="I52" s="69"/>
      <c r="J52" s="69"/>
    </row>
    <row r="53" spans="1:10" ht="12.75">
      <c r="A53" s="3"/>
      <c r="B53" s="3"/>
      <c r="C53" s="3"/>
      <c r="D53" s="3"/>
      <c r="E53" s="3"/>
      <c r="G53" s="69"/>
      <c r="H53" s="69"/>
      <c r="I53" s="69"/>
      <c r="J53" s="69"/>
    </row>
    <row r="54" spans="1:10" ht="12.75">
      <c r="A54" s="3"/>
      <c r="B54" s="3"/>
      <c r="C54" s="3"/>
      <c r="D54" s="3"/>
      <c r="E54" s="3"/>
      <c r="G54" s="69"/>
      <c r="H54" s="69"/>
      <c r="I54" s="69"/>
      <c r="J54" s="69"/>
    </row>
    <row r="55" spans="1:10" ht="12.75">
      <c r="A55" s="3"/>
      <c r="B55" s="3"/>
      <c r="C55" s="3"/>
      <c r="D55" s="3"/>
      <c r="E55" s="3"/>
      <c r="G55" s="69"/>
      <c r="H55" s="69"/>
      <c r="I55" s="69"/>
      <c r="J55" s="69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</sheetData>
  <mergeCells count="7">
    <mergeCell ref="C36:J36"/>
    <mergeCell ref="A35:B36"/>
    <mergeCell ref="A1:J1"/>
    <mergeCell ref="C3:J3"/>
    <mergeCell ref="A2:B3"/>
    <mergeCell ref="C23:J23"/>
    <mergeCell ref="A22:B23"/>
  </mergeCells>
  <printOptions/>
  <pageMargins left="0.54" right="0.17" top="0.5" bottom="0.49" header="0.25" footer="0.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85"/>
  <sheetViews>
    <sheetView workbookViewId="0" topLeftCell="A1">
      <pane xSplit="2" ySplit="3" topLeftCell="C15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E42" sqref="E42"/>
    </sheetView>
  </sheetViews>
  <sheetFormatPr defaultColWidth="9.00390625" defaultRowHeight="12.75"/>
  <cols>
    <col min="1" max="1" width="3.875" style="0" customWidth="1"/>
    <col min="2" max="2" width="43.25390625" style="0" customWidth="1"/>
    <col min="3" max="6" width="8.875" style="0" customWidth="1"/>
    <col min="7" max="8" width="8.875" style="78" customWidth="1"/>
    <col min="9" max="10" width="8.875" style="0" customWidth="1"/>
  </cols>
  <sheetData>
    <row r="1" spans="1:8" s="91" customFormat="1" ht="15.75" thickBot="1">
      <c r="A1" s="68"/>
      <c r="B1" s="63"/>
      <c r="C1" s="63"/>
      <c r="D1" s="63"/>
      <c r="E1" s="63"/>
      <c r="F1" s="63"/>
      <c r="G1" s="83"/>
      <c r="H1" s="83"/>
    </row>
    <row r="2" spans="1:10" ht="15" customHeight="1">
      <c r="A2" s="264" t="s">
        <v>168</v>
      </c>
      <c r="B2" s="265"/>
      <c r="C2" s="146" t="s">
        <v>0</v>
      </c>
      <c r="D2" s="120" t="s">
        <v>1</v>
      </c>
      <c r="E2" s="120" t="s">
        <v>2</v>
      </c>
      <c r="F2" s="120" t="s">
        <v>3</v>
      </c>
      <c r="G2" s="120" t="s">
        <v>66</v>
      </c>
      <c r="H2" s="147" t="s">
        <v>67</v>
      </c>
      <c r="I2" s="147" t="s">
        <v>72</v>
      </c>
      <c r="J2" s="209" t="s">
        <v>74</v>
      </c>
    </row>
    <row r="3" spans="1:10" ht="12.75">
      <c r="A3" s="266"/>
      <c r="B3" s="267"/>
      <c r="C3" s="262" t="s">
        <v>71</v>
      </c>
      <c r="D3" s="262"/>
      <c r="E3" s="262"/>
      <c r="F3" s="262"/>
      <c r="G3" s="262"/>
      <c r="H3" s="262"/>
      <c r="I3" s="262"/>
      <c r="J3" s="263"/>
    </row>
    <row r="4" spans="1:10" ht="11.25" customHeight="1">
      <c r="A4" s="181" t="s">
        <v>136</v>
      </c>
      <c r="B4" s="20"/>
      <c r="C4" s="48">
        <v>182737.501</v>
      </c>
      <c r="D4" s="49">
        <v>92970.564</v>
      </c>
      <c r="E4" s="21">
        <v>89057.259</v>
      </c>
      <c r="F4" s="15">
        <v>101014.52</v>
      </c>
      <c r="G4" s="70">
        <f>SUM(G5:G9)</f>
        <v>124573.09999999998</v>
      </c>
      <c r="H4" s="70">
        <v>124911.26</v>
      </c>
      <c r="I4" s="70">
        <v>154489.768</v>
      </c>
      <c r="J4" s="182">
        <v>191116.435</v>
      </c>
    </row>
    <row r="5" spans="1:10" ht="11.25" customHeight="1">
      <c r="A5" s="181"/>
      <c r="B5" s="20" t="s">
        <v>137</v>
      </c>
      <c r="C5" s="48">
        <v>18624.755</v>
      </c>
      <c r="D5" s="49">
        <v>9593.408</v>
      </c>
      <c r="E5" s="21">
        <v>14289.744</v>
      </c>
      <c r="F5" s="15">
        <v>20120.158</v>
      </c>
      <c r="G5" s="70">
        <f>20233.9-0.4</f>
        <v>20233.5</v>
      </c>
      <c r="H5" s="70">
        <v>14462.99</v>
      </c>
      <c r="I5" s="70">
        <v>30687.602</v>
      </c>
      <c r="J5" s="182">
        <v>26806.252</v>
      </c>
    </row>
    <row r="6" spans="1:10" ht="11.25" customHeight="1">
      <c r="A6" s="181"/>
      <c r="B6" s="20" t="s">
        <v>138</v>
      </c>
      <c r="C6" s="48">
        <v>153335.893</v>
      </c>
      <c r="D6" s="49">
        <v>60989.728</v>
      </c>
      <c r="E6" s="21">
        <v>34323.798</v>
      </c>
      <c r="F6" s="15">
        <v>40002.477</v>
      </c>
      <c r="G6" s="70">
        <v>66969.7</v>
      </c>
      <c r="H6" s="70">
        <v>83650.45</v>
      </c>
      <c r="I6" s="70">
        <v>94926.601</v>
      </c>
      <c r="J6" s="182">
        <v>124365.006</v>
      </c>
    </row>
    <row r="7" spans="1:10" ht="24">
      <c r="A7" s="181"/>
      <c r="B7" s="36" t="s">
        <v>139</v>
      </c>
      <c r="C7" s="42">
        <v>10776.853</v>
      </c>
      <c r="D7" s="43">
        <v>22387.428</v>
      </c>
      <c r="E7" s="38">
        <v>40443.717</v>
      </c>
      <c r="F7" s="15">
        <v>40197.991</v>
      </c>
      <c r="G7" s="70">
        <v>36978.6</v>
      </c>
      <c r="H7" s="70">
        <v>26381.355</v>
      </c>
      <c r="I7" s="70">
        <v>27419.589</v>
      </c>
      <c r="J7" s="182">
        <v>35492.47</v>
      </c>
    </row>
    <row r="8" spans="1:10" ht="11.25" customHeight="1">
      <c r="A8" s="181"/>
      <c r="B8" s="20" t="s">
        <v>140</v>
      </c>
      <c r="C8" s="21" t="s">
        <v>12</v>
      </c>
      <c r="D8" s="21" t="s">
        <v>12</v>
      </c>
      <c r="E8" s="21" t="s">
        <v>12</v>
      </c>
      <c r="F8" s="15">
        <v>51.419</v>
      </c>
      <c r="G8" s="70">
        <v>162.9</v>
      </c>
      <c r="H8" s="70">
        <v>142.237</v>
      </c>
      <c r="I8" s="70">
        <v>735.36</v>
      </c>
      <c r="J8" s="182">
        <v>3822.982</v>
      </c>
    </row>
    <row r="9" spans="1:10" ht="11.25" customHeight="1">
      <c r="A9" s="181"/>
      <c r="B9" s="20" t="s">
        <v>141</v>
      </c>
      <c r="C9" s="21" t="s">
        <v>12</v>
      </c>
      <c r="D9" s="21" t="s">
        <v>12</v>
      </c>
      <c r="E9" s="21" t="s">
        <v>12</v>
      </c>
      <c r="F9" s="15">
        <v>642.475</v>
      </c>
      <c r="G9" s="70">
        <v>228.4</v>
      </c>
      <c r="H9" s="70">
        <v>274.228</v>
      </c>
      <c r="I9" s="70">
        <v>720.616</v>
      </c>
      <c r="J9" s="182">
        <v>629.725</v>
      </c>
    </row>
    <row r="10" spans="1:10" ht="11.25" customHeight="1">
      <c r="A10" s="181" t="s">
        <v>43</v>
      </c>
      <c r="B10" s="20"/>
      <c r="C10" s="48">
        <v>124609.739</v>
      </c>
      <c r="D10" s="49">
        <v>34993.62</v>
      </c>
      <c r="E10" s="21">
        <v>26600.838</v>
      </c>
      <c r="F10" s="15">
        <v>29817.933</v>
      </c>
      <c r="G10" s="70">
        <f>G11+G12+G13+G14+G15+G16</f>
        <v>42597.4</v>
      </c>
      <c r="H10" s="70">
        <v>46066.05</v>
      </c>
      <c r="I10" s="70">
        <v>67110.506</v>
      </c>
      <c r="J10" s="182">
        <v>90036.062</v>
      </c>
    </row>
    <row r="11" spans="1:10" ht="11.25" customHeight="1">
      <c r="A11" s="181"/>
      <c r="B11" s="20" t="s">
        <v>142</v>
      </c>
      <c r="C11" s="48">
        <v>22044.367</v>
      </c>
      <c r="D11" s="49">
        <v>9070.012</v>
      </c>
      <c r="E11" s="21">
        <v>7588.377</v>
      </c>
      <c r="F11" s="15">
        <v>6924.694</v>
      </c>
      <c r="G11" s="70">
        <v>12542.5</v>
      </c>
      <c r="H11" s="70">
        <v>12670.718</v>
      </c>
      <c r="I11" s="70">
        <v>14636.001</v>
      </c>
      <c r="J11" s="182">
        <v>20554.037</v>
      </c>
    </row>
    <row r="12" spans="1:10" ht="11.25" customHeight="1">
      <c r="A12" s="181"/>
      <c r="B12" s="20" t="s">
        <v>143</v>
      </c>
      <c r="C12" s="48">
        <v>102493.821</v>
      </c>
      <c r="D12" s="49">
        <v>25768.954</v>
      </c>
      <c r="E12" s="21">
        <v>18599.479</v>
      </c>
      <c r="F12" s="15">
        <v>20355.559</v>
      </c>
      <c r="G12" s="70">
        <f>27754.7-27.4</f>
        <v>27727.3</v>
      </c>
      <c r="H12" s="70">
        <v>29704.988</v>
      </c>
      <c r="I12" s="70">
        <v>46710.907</v>
      </c>
      <c r="J12" s="182">
        <v>60096.862</v>
      </c>
    </row>
    <row r="13" spans="1:10" ht="24">
      <c r="A13" s="181"/>
      <c r="B13" s="36" t="s">
        <v>144</v>
      </c>
      <c r="C13" s="42">
        <v>57.901</v>
      </c>
      <c r="D13" s="43">
        <v>84.941</v>
      </c>
      <c r="E13" s="38">
        <v>287.193</v>
      </c>
      <c r="F13" s="15">
        <v>1214.969</v>
      </c>
      <c r="G13" s="70">
        <v>1111</v>
      </c>
      <c r="H13" s="70">
        <v>787.193</v>
      </c>
      <c r="I13" s="70">
        <v>1169.127</v>
      </c>
      <c r="J13" s="182">
        <v>1716.042</v>
      </c>
    </row>
    <row r="14" spans="1:10" ht="11.25" customHeight="1">
      <c r="A14" s="181"/>
      <c r="B14" s="20" t="s">
        <v>145</v>
      </c>
      <c r="C14" s="48">
        <v>13.65</v>
      </c>
      <c r="D14" s="49">
        <v>69.713</v>
      </c>
      <c r="E14" s="21">
        <v>125.789</v>
      </c>
      <c r="F14" s="15">
        <v>659.146</v>
      </c>
      <c r="G14" s="70">
        <v>329.8</v>
      </c>
      <c r="H14" s="70">
        <v>1092.227</v>
      </c>
      <c r="I14" s="70">
        <v>1633.69</v>
      </c>
      <c r="J14" s="182">
        <v>2727.647</v>
      </c>
    </row>
    <row r="15" spans="1:10" ht="11.25" customHeight="1">
      <c r="A15" s="181"/>
      <c r="B15" s="20" t="s">
        <v>146</v>
      </c>
      <c r="C15" s="21" t="s">
        <v>12</v>
      </c>
      <c r="D15" s="21" t="s">
        <v>12</v>
      </c>
      <c r="E15" s="21" t="s">
        <v>12</v>
      </c>
      <c r="F15" s="15">
        <v>224.744</v>
      </c>
      <c r="G15" s="70">
        <v>82.6</v>
      </c>
      <c r="H15" s="70">
        <v>96.877</v>
      </c>
      <c r="I15" s="70">
        <v>643.184</v>
      </c>
      <c r="J15" s="182">
        <v>2003.011</v>
      </c>
    </row>
    <row r="16" spans="1:10" ht="11.25" customHeight="1">
      <c r="A16" s="181"/>
      <c r="B16" s="20" t="s">
        <v>147</v>
      </c>
      <c r="C16" s="21" t="s">
        <v>12</v>
      </c>
      <c r="D16" s="21" t="s">
        <v>12</v>
      </c>
      <c r="E16" s="21" t="s">
        <v>12</v>
      </c>
      <c r="F16" s="15">
        <v>438.821</v>
      </c>
      <c r="G16" s="70">
        <v>804.2</v>
      </c>
      <c r="H16" s="70">
        <v>1714.047</v>
      </c>
      <c r="I16" s="70">
        <v>2317.597</v>
      </c>
      <c r="J16" s="182">
        <v>2938.463</v>
      </c>
    </row>
    <row r="17" spans="1:10" ht="11.25" customHeight="1">
      <c r="A17" s="183" t="s">
        <v>148</v>
      </c>
      <c r="B17" s="22"/>
      <c r="C17" s="50">
        <v>58127.762</v>
      </c>
      <c r="D17" s="51">
        <v>57976.944</v>
      </c>
      <c r="E17" s="23">
        <v>62456.421</v>
      </c>
      <c r="F17" s="41">
        <v>71196.587</v>
      </c>
      <c r="G17" s="72">
        <f>G4-G10</f>
        <v>81975.69999999998</v>
      </c>
      <c r="H17" s="72">
        <v>78845.21</v>
      </c>
      <c r="I17" s="72">
        <v>87379.262</v>
      </c>
      <c r="J17" s="221">
        <v>101080.373</v>
      </c>
    </row>
    <row r="18" spans="1:10" ht="11.25" customHeight="1">
      <c r="A18" s="184" t="s">
        <v>47</v>
      </c>
      <c r="B18" s="60"/>
      <c r="C18" s="61">
        <v>61584.95</v>
      </c>
      <c r="D18" s="62">
        <v>34826.907</v>
      </c>
      <c r="E18" s="31">
        <v>12752.726</v>
      </c>
      <c r="F18" s="58">
        <v>3579.291</v>
      </c>
      <c r="G18" s="70">
        <f>46457.7-12390.7</f>
        <v>34067</v>
      </c>
      <c r="H18" s="70">
        <v>20767.67</v>
      </c>
      <c r="I18" s="70">
        <v>11201.48</v>
      </c>
      <c r="J18" s="182">
        <v>15086.177</v>
      </c>
    </row>
    <row r="19" spans="1:10" ht="11.25" customHeight="1">
      <c r="A19" s="183" t="s">
        <v>149</v>
      </c>
      <c r="B19" s="22"/>
      <c r="C19" s="50">
        <v>-3457.188</v>
      </c>
      <c r="D19" s="51">
        <v>23150.037</v>
      </c>
      <c r="E19" s="23">
        <v>49703.695</v>
      </c>
      <c r="F19" s="41">
        <v>67617.296</v>
      </c>
      <c r="G19" s="72">
        <f>G17-G18</f>
        <v>47908.69999999998</v>
      </c>
      <c r="H19" s="72">
        <f>H17-H18</f>
        <v>58077.54000000001</v>
      </c>
      <c r="I19" s="72">
        <f>I17-I18</f>
        <v>76177.782</v>
      </c>
      <c r="J19" s="221">
        <v>85994.19600000001</v>
      </c>
    </row>
    <row r="20" spans="1:10" ht="11.25" customHeight="1">
      <c r="A20" s="181" t="s">
        <v>150</v>
      </c>
      <c r="B20" s="20"/>
      <c r="C20" s="48">
        <v>26250.293</v>
      </c>
      <c r="D20" s="49">
        <v>33024.492</v>
      </c>
      <c r="E20" s="21">
        <v>36527.33</v>
      </c>
      <c r="F20" s="15">
        <v>48605.173</v>
      </c>
      <c r="G20" s="70">
        <v>49052.1</v>
      </c>
      <c r="H20" s="70">
        <v>52809.582</v>
      </c>
      <c r="I20" s="70">
        <v>65849.879</v>
      </c>
      <c r="J20" s="182">
        <v>75106.257</v>
      </c>
    </row>
    <row r="21" spans="1:10" ht="11.25" customHeight="1">
      <c r="A21" s="181" t="s">
        <v>44</v>
      </c>
      <c r="B21" s="20"/>
      <c r="C21" s="48">
        <v>7754.049</v>
      </c>
      <c r="D21" s="49">
        <v>6337.769</v>
      </c>
      <c r="E21" s="21">
        <v>10739.582</v>
      </c>
      <c r="F21" s="15">
        <v>11227.989</v>
      </c>
      <c r="G21" s="70">
        <f>10309.6-2.9</f>
        <v>10306.7</v>
      </c>
      <c r="H21" s="70">
        <v>8095.913</v>
      </c>
      <c r="I21" s="70">
        <v>11428.247</v>
      </c>
      <c r="J21" s="182">
        <v>14003.235</v>
      </c>
    </row>
    <row r="22" spans="1:10" ht="11.25" customHeight="1">
      <c r="A22" s="181" t="s">
        <v>151</v>
      </c>
      <c r="B22" s="20"/>
      <c r="C22" s="48">
        <v>35412.57</v>
      </c>
      <c r="D22" s="48">
        <v>15495.909</v>
      </c>
      <c r="E22" s="48">
        <v>27678.152</v>
      </c>
      <c r="F22" s="66">
        <v>32450.103</v>
      </c>
      <c r="G22" s="70">
        <f>G23+G24+G26+G27+G28</f>
        <v>-26886.7</v>
      </c>
      <c r="H22" s="70">
        <v>17783.603</v>
      </c>
      <c r="I22" s="70">
        <v>25051.614</v>
      </c>
      <c r="J22" s="182">
        <v>29021.694</v>
      </c>
    </row>
    <row r="23" spans="1:10" ht="11.25" customHeight="1">
      <c r="A23" s="181"/>
      <c r="B23" s="20" t="s">
        <v>152</v>
      </c>
      <c r="C23" s="48">
        <v>12078.89</v>
      </c>
      <c r="D23" s="49">
        <v>17295.036</v>
      </c>
      <c r="E23" s="21">
        <v>23271.455</v>
      </c>
      <c r="F23" s="67">
        <v>24235.85</v>
      </c>
      <c r="G23" s="70">
        <v>23201.9</v>
      </c>
      <c r="H23" s="70">
        <v>21889.047</v>
      </c>
      <c r="I23" s="70">
        <v>15617.916</v>
      </c>
      <c r="J23" s="182">
        <v>16322.841</v>
      </c>
    </row>
    <row r="24" spans="1:10" ht="11.25" customHeight="1">
      <c r="A24" s="181"/>
      <c r="B24" s="20" t="s">
        <v>153</v>
      </c>
      <c r="C24" s="48">
        <v>28804.804</v>
      </c>
      <c r="D24" s="49">
        <v>-2133.581</v>
      </c>
      <c r="E24" s="21">
        <v>5565.835</v>
      </c>
      <c r="F24" s="15">
        <v>10020.768</v>
      </c>
      <c r="G24" s="70">
        <v>-3144.7</v>
      </c>
      <c r="H24" s="70">
        <v>1170.068</v>
      </c>
      <c r="I24" s="70">
        <v>5619.427</v>
      </c>
      <c r="J24" s="182">
        <v>3387.26</v>
      </c>
    </row>
    <row r="25" spans="1:10" ht="11.25" customHeight="1">
      <c r="A25" s="181"/>
      <c r="B25" s="20" t="s">
        <v>154</v>
      </c>
      <c r="C25" s="48">
        <v>1188.484</v>
      </c>
      <c r="D25" s="49">
        <v>389.181</v>
      </c>
      <c r="E25" s="21">
        <v>-884.158</v>
      </c>
      <c r="F25" s="21" t="s">
        <v>12</v>
      </c>
      <c r="G25" s="11" t="s">
        <v>12</v>
      </c>
      <c r="H25" s="11" t="s">
        <v>12</v>
      </c>
      <c r="I25" s="11" t="s">
        <v>12</v>
      </c>
      <c r="J25" s="256" t="s">
        <v>12</v>
      </c>
    </row>
    <row r="26" spans="1:10" ht="11.25" customHeight="1">
      <c r="A26" s="181"/>
      <c r="B26" s="20" t="s">
        <v>155</v>
      </c>
      <c r="C26" s="21">
        <v>-6659.608</v>
      </c>
      <c r="D26" s="54">
        <v>-54.727</v>
      </c>
      <c r="E26" s="21">
        <v>-274.98</v>
      </c>
      <c r="F26" s="15">
        <v>-1027.976</v>
      </c>
      <c r="G26" s="70">
        <v>-36735.4</v>
      </c>
      <c r="H26" s="70">
        <v>-4411.943</v>
      </c>
      <c r="I26" s="70">
        <v>3838.161</v>
      </c>
      <c r="J26" s="182">
        <v>5254.907</v>
      </c>
    </row>
    <row r="27" spans="1:10" ht="11.25" customHeight="1">
      <c r="A27" s="181"/>
      <c r="B27" s="20" t="s">
        <v>156</v>
      </c>
      <c r="C27" s="21" t="s">
        <v>12</v>
      </c>
      <c r="D27" s="21" t="s">
        <v>12</v>
      </c>
      <c r="E27" s="21" t="s">
        <v>12</v>
      </c>
      <c r="F27" s="15">
        <v>-772.822</v>
      </c>
      <c r="G27" s="70">
        <v>-9887.2</v>
      </c>
      <c r="H27" s="70">
        <v>-1128.457</v>
      </c>
      <c r="I27" s="70">
        <v>335.356</v>
      </c>
      <c r="J27" s="182">
        <v>4128.05</v>
      </c>
    </row>
    <row r="28" spans="1:10" ht="11.25" customHeight="1">
      <c r="A28" s="181"/>
      <c r="B28" s="20" t="s">
        <v>157</v>
      </c>
      <c r="C28" s="21" t="s">
        <v>12</v>
      </c>
      <c r="D28" s="21" t="s">
        <v>12</v>
      </c>
      <c r="E28" s="21" t="s">
        <v>12</v>
      </c>
      <c r="F28" s="15">
        <v>-5.717</v>
      </c>
      <c r="G28" s="70">
        <v>-321.3</v>
      </c>
      <c r="H28" s="70">
        <v>264.888</v>
      </c>
      <c r="I28" s="32">
        <v>-359.246</v>
      </c>
      <c r="J28" s="182">
        <v>-71.364</v>
      </c>
    </row>
    <row r="29" spans="1:10" ht="11.25" customHeight="1">
      <c r="A29" s="181" t="s">
        <v>158</v>
      </c>
      <c r="B29" s="20"/>
      <c r="C29" s="48">
        <v>341.968</v>
      </c>
      <c r="D29" s="49">
        <v>436.161</v>
      </c>
      <c r="E29" s="21">
        <v>427.604</v>
      </c>
      <c r="F29" s="15">
        <v>372.705</v>
      </c>
      <c r="G29" s="70">
        <v>368.4</v>
      </c>
      <c r="H29" s="70">
        <v>196.669</v>
      </c>
      <c r="I29" s="70">
        <v>356.119</v>
      </c>
      <c r="J29" s="182">
        <v>148.377</v>
      </c>
    </row>
    <row r="30" spans="1:10" ht="11.25" customHeight="1">
      <c r="A30" s="181" t="s">
        <v>45</v>
      </c>
      <c r="B30" s="20"/>
      <c r="C30" s="21" t="s">
        <v>12</v>
      </c>
      <c r="D30" s="21" t="s">
        <v>12</v>
      </c>
      <c r="E30" s="21" t="s">
        <v>12</v>
      </c>
      <c r="F30" s="15">
        <v>-33.322</v>
      </c>
      <c r="G30" s="70">
        <v>-197.9</v>
      </c>
      <c r="H30" s="70">
        <v>-2144.159</v>
      </c>
      <c r="I30" s="70">
        <v>773.248</v>
      </c>
      <c r="J30" s="182">
        <v>2325.766</v>
      </c>
    </row>
    <row r="31" spans="1:10" ht="11.25" customHeight="1">
      <c r="A31" s="181" t="s">
        <v>159</v>
      </c>
      <c r="B31" s="20"/>
      <c r="C31" s="48">
        <v>7857.193</v>
      </c>
      <c r="D31" s="49">
        <v>3800.054</v>
      </c>
      <c r="E31" s="21">
        <v>3706.24</v>
      </c>
      <c r="F31" s="15">
        <v>5167.52</v>
      </c>
      <c r="G31" s="70">
        <v>4206.7</v>
      </c>
      <c r="H31" s="70">
        <v>5030.832</v>
      </c>
      <c r="I31" s="70">
        <v>3800.874</v>
      </c>
      <c r="J31" s="182">
        <v>10727.129</v>
      </c>
    </row>
    <row r="32" spans="1:10" ht="11.25" customHeight="1">
      <c r="A32" s="181" t="s">
        <v>46</v>
      </c>
      <c r="B32" s="20"/>
      <c r="C32" s="48">
        <v>7870.596</v>
      </c>
      <c r="D32" s="49">
        <v>3731.159</v>
      </c>
      <c r="E32" s="21">
        <v>2763.027</v>
      </c>
      <c r="F32" s="15">
        <v>2166.59</v>
      </c>
      <c r="G32" s="70">
        <v>1937.7</v>
      </c>
      <c r="H32" s="70">
        <v>2272.978</v>
      </c>
      <c r="I32" s="70">
        <v>2244.638</v>
      </c>
      <c r="J32" s="182">
        <v>2541.95</v>
      </c>
    </row>
    <row r="33" spans="1:10" ht="11.25" customHeight="1">
      <c r="A33" s="183" t="s">
        <v>65</v>
      </c>
      <c r="B33" s="22"/>
      <c r="C33" s="50">
        <v>50780.191</v>
      </c>
      <c r="D33" s="51">
        <v>65837.725</v>
      </c>
      <c r="E33" s="23">
        <v>104540.412</v>
      </c>
      <c r="F33" s="41">
        <v>140784.896</v>
      </c>
      <c r="G33" s="72">
        <f>G19+G20-G21+G22+G29+G30+G31-G32</f>
        <v>62206.899999999994</v>
      </c>
      <c r="H33" s="72">
        <f>H19+H20-H21+H22+H29+H30+H31-H32</f>
        <v>121385.17599999999</v>
      </c>
      <c r="I33" s="72">
        <f>I19+I20-I21+I22+I29+I30+I31-I32</f>
        <v>158336.63100000002</v>
      </c>
      <c r="J33" s="221">
        <v>186778.234</v>
      </c>
    </row>
    <row r="34" spans="1:10" ht="11.25" customHeight="1">
      <c r="A34" s="181" t="s">
        <v>48</v>
      </c>
      <c r="B34" s="20"/>
      <c r="C34" s="48">
        <v>52416.934</v>
      </c>
      <c r="D34" s="49">
        <v>50653.156</v>
      </c>
      <c r="E34" s="21">
        <v>59186.247</v>
      </c>
      <c r="F34" s="15">
        <v>72713.7</v>
      </c>
      <c r="G34" s="70">
        <f>SUM(G35:G37)</f>
        <v>73265.29999999999</v>
      </c>
      <c r="H34" s="70">
        <v>84793.526</v>
      </c>
      <c r="I34" s="70">
        <v>95885.406</v>
      </c>
      <c r="J34" s="182">
        <v>107179.008</v>
      </c>
    </row>
    <row r="35" spans="1:10" ht="11.25" customHeight="1">
      <c r="A35" s="181"/>
      <c r="B35" s="20" t="s">
        <v>160</v>
      </c>
      <c r="C35" s="48">
        <v>734.942</v>
      </c>
      <c r="D35" s="49">
        <v>855.789</v>
      </c>
      <c r="E35" s="21">
        <v>2955.574</v>
      </c>
      <c r="F35" s="15">
        <v>2572.494</v>
      </c>
      <c r="G35" s="70">
        <f>2314.2-2.4</f>
        <v>2311.7999999999997</v>
      </c>
      <c r="H35" s="70">
        <v>2890.922</v>
      </c>
      <c r="I35" s="70">
        <v>3449.951</v>
      </c>
      <c r="J35" s="182">
        <v>3634.068</v>
      </c>
    </row>
    <row r="36" spans="1:10" ht="11.25" customHeight="1">
      <c r="A36" s="181"/>
      <c r="B36" s="20" t="s">
        <v>161</v>
      </c>
      <c r="C36" s="48">
        <v>13759.661</v>
      </c>
      <c r="D36" s="49">
        <v>15060.309</v>
      </c>
      <c r="E36" s="21">
        <v>17807.146</v>
      </c>
      <c r="F36" s="15">
        <v>26032.38</v>
      </c>
      <c r="G36" s="70">
        <f>28122.4-13.8</f>
        <v>28108.600000000002</v>
      </c>
      <c r="H36" s="80">
        <v>31437.572</v>
      </c>
      <c r="I36" s="80">
        <v>35900.353</v>
      </c>
      <c r="J36" s="222">
        <v>40847.702</v>
      </c>
    </row>
    <row r="37" spans="1:10" ht="11.25" customHeight="1">
      <c r="A37" s="181"/>
      <c r="B37" s="20" t="s">
        <v>162</v>
      </c>
      <c r="C37" s="48">
        <v>37922.331</v>
      </c>
      <c r="D37" s="49">
        <v>34737.058</v>
      </c>
      <c r="E37" s="21">
        <v>38423.527</v>
      </c>
      <c r="F37" s="15">
        <v>44108.826</v>
      </c>
      <c r="G37" s="70">
        <f>8085.5+34771.7-4.3-8</f>
        <v>42844.899999999994</v>
      </c>
      <c r="H37" s="80">
        <v>50465.032</v>
      </c>
      <c r="I37" s="80">
        <v>56535.102</v>
      </c>
      <c r="J37" s="222">
        <v>62697.238</v>
      </c>
    </row>
    <row r="38" spans="1:10" ht="11.25" customHeight="1">
      <c r="A38" s="185" t="s">
        <v>49</v>
      </c>
      <c r="B38" s="24"/>
      <c r="C38" s="52"/>
      <c r="D38" s="53"/>
      <c r="E38" s="21"/>
      <c r="F38" s="15"/>
      <c r="G38" s="70"/>
      <c r="H38" s="80"/>
      <c r="I38" s="80"/>
      <c r="J38" s="222"/>
    </row>
    <row r="39" spans="1:10" ht="11.25" customHeight="1">
      <c r="A39" s="185" t="s">
        <v>50</v>
      </c>
      <c r="B39" s="24"/>
      <c r="C39" s="21">
        <v>3305.986</v>
      </c>
      <c r="D39" s="54">
        <v>5512.009</v>
      </c>
      <c r="E39" s="21">
        <v>9168.589</v>
      </c>
      <c r="F39" s="15">
        <v>13565.803</v>
      </c>
      <c r="G39" s="70">
        <f>13988.3-3</f>
        <v>13985.3</v>
      </c>
      <c r="H39" s="80">
        <v>15863.808</v>
      </c>
      <c r="I39" s="80">
        <v>17882.023</v>
      </c>
      <c r="J39" s="222">
        <v>21490.427</v>
      </c>
    </row>
    <row r="40" spans="1:10" ht="11.25" customHeight="1">
      <c r="A40" s="183" t="s">
        <v>51</v>
      </c>
      <c r="B40" s="22"/>
      <c r="C40" s="50">
        <v>-4942.729</v>
      </c>
      <c r="D40" s="51">
        <v>9672.56</v>
      </c>
      <c r="E40" s="23">
        <v>36185.576</v>
      </c>
      <c r="F40" s="41">
        <v>54505.393</v>
      </c>
      <c r="G40" s="72">
        <f>G33-G34-G39</f>
        <v>-25043.699999999993</v>
      </c>
      <c r="H40" s="72">
        <f>H33-H34-H39</f>
        <v>20727.841999999993</v>
      </c>
      <c r="I40" s="72">
        <v>44569.202</v>
      </c>
      <c r="J40" s="221">
        <v>58108.799</v>
      </c>
    </row>
    <row r="41" spans="1:10" ht="11.25" customHeight="1">
      <c r="A41" s="181" t="s">
        <v>52</v>
      </c>
      <c r="B41" s="20"/>
      <c r="C41" s="48">
        <v>5218.394</v>
      </c>
      <c r="D41" s="49">
        <v>2125.463</v>
      </c>
      <c r="E41" s="21">
        <v>1274.701</v>
      </c>
      <c r="F41" s="15">
        <v>1087.777</v>
      </c>
      <c r="G41" s="70">
        <v>1098.2</v>
      </c>
      <c r="H41" s="80">
        <v>2610.577</v>
      </c>
      <c r="I41" s="80">
        <v>1101.692</v>
      </c>
      <c r="J41" s="222">
        <v>998.074</v>
      </c>
    </row>
    <row r="42" spans="1:10" ht="11.25" customHeight="1">
      <c r="A42" s="181" t="s">
        <v>53</v>
      </c>
      <c r="B42" s="20"/>
      <c r="C42" s="48">
        <v>3775.07</v>
      </c>
      <c r="D42" s="49">
        <v>4993.901</v>
      </c>
      <c r="E42" s="21">
        <v>2730.436</v>
      </c>
      <c r="F42" s="15">
        <v>2519.074</v>
      </c>
      <c r="G42" s="70">
        <v>1386.2</v>
      </c>
      <c r="H42" s="70">
        <v>1899.229</v>
      </c>
      <c r="I42" s="70">
        <v>950.3</v>
      </c>
      <c r="J42" s="182">
        <v>479.94</v>
      </c>
    </row>
    <row r="43" spans="1:10" ht="11.25" customHeight="1">
      <c r="A43" s="183" t="s">
        <v>54</v>
      </c>
      <c r="B43" s="22"/>
      <c r="C43" s="50">
        <v>-3499.405</v>
      </c>
      <c r="D43" s="51">
        <v>6804.122</v>
      </c>
      <c r="E43" s="23">
        <v>34729.841</v>
      </c>
      <c r="F43" s="41">
        <v>53074.096</v>
      </c>
      <c r="G43" s="72">
        <f>G40+G41-G42</f>
        <v>-25331.699999999993</v>
      </c>
      <c r="H43" s="72">
        <v>21439.19</v>
      </c>
      <c r="I43" s="72">
        <v>44720.594</v>
      </c>
      <c r="J43" s="221">
        <v>58626.933</v>
      </c>
    </row>
    <row r="44" spans="1:10" ht="11.25" customHeight="1">
      <c r="A44" s="181" t="s">
        <v>55</v>
      </c>
      <c r="B44" s="20"/>
      <c r="C44" s="48">
        <v>4288.518</v>
      </c>
      <c r="D44" s="49">
        <v>1399.166</v>
      </c>
      <c r="E44" s="21">
        <v>4702.509</v>
      </c>
      <c r="F44" s="15">
        <v>7043.16</v>
      </c>
      <c r="G44" s="70">
        <f>3119.2-3.3</f>
        <v>3115.8999999999996</v>
      </c>
      <c r="H44" s="70">
        <v>3490.18</v>
      </c>
      <c r="I44" s="70">
        <v>6415.254</v>
      </c>
      <c r="J44" s="182">
        <v>9060.933</v>
      </c>
    </row>
    <row r="45" spans="1:10" ht="11.25" customHeight="1" thickBot="1">
      <c r="A45" s="186" t="s">
        <v>38</v>
      </c>
      <c r="B45" s="187"/>
      <c r="C45" s="178">
        <v>-7787.923</v>
      </c>
      <c r="D45" s="188">
        <v>5404.956</v>
      </c>
      <c r="E45" s="189">
        <v>30027.332</v>
      </c>
      <c r="F45" s="177">
        <v>46030.936</v>
      </c>
      <c r="G45" s="223">
        <f>G43-G44</f>
        <v>-28447.59999999999</v>
      </c>
      <c r="H45" s="223">
        <v>17949.01</v>
      </c>
      <c r="I45" s="224">
        <v>38305.34</v>
      </c>
      <c r="J45" s="225">
        <v>49566</v>
      </c>
    </row>
    <row r="46" spans="1:10" ht="12" customHeight="1">
      <c r="A46" s="9"/>
      <c r="B46" s="3"/>
      <c r="C46" s="40"/>
      <c r="D46" s="40"/>
      <c r="E46" s="40"/>
      <c r="F46" s="40"/>
      <c r="G46" s="69"/>
      <c r="H46" s="69"/>
      <c r="I46" s="69"/>
      <c r="J46" s="69"/>
    </row>
    <row r="47" spans="1:10" ht="13.5" thickBot="1">
      <c r="A47" s="1"/>
      <c r="B47" s="1"/>
      <c r="C47" s="1"/>
      <c r="D47" s="1"/>
      <c r="E47" s="29"/>
      <c r="F47" s="39"/>
      <c r="G47" s="116"/>
      <c r="H47" s="116"/>
      <c r="I47" s="69"/>
      <c r="J47" s="69"/>
    </row>
    <row r="48" spans="1:10" ht="12.75" customHeight="1">
      <c r="A48" s="264" t="s">
        <v>135</v>
      </c>
      <c r="B48" s="265"/>
      <c r="C48" s="146" t="s">
        <v>0</v>
      </c>
      <c r="D48" s="120" t="s">
        <v>1</v>
      </c>
      <c r="E48" s="120" t="s">
        <v>2</v>
      </c>
      <c r="F48" s="147" t="s">
        <v>3</v>
      </c>
      <c r="G48" s="120" t="s">
        <v>66</v>
      </c>
      <c r="H48" s="147" t="s">
        <v>67</v>
      </c>
      <c r="I48" s="147" t="s">
        <v>72</v>
      </c>
      <c r="J48" s="209" t="s">
        <v>74</v>
      </c>
    </row>
    <row r="49" spans="1:10" ht="12.75">
      <c r="A49" s="266"/>
      <c r="B49" s="267"/>
      <c r="C49" s="262" t="s">
        <v>31</v>
      </c>
      <c r="D49" s="262"/>
      <c r="E49" s="262"/>
      <c r="F49" s="262"/>
      <c r="G49" s="262"/>
      <c r="H49" s="262"/>
      <c r="I49" s="262"/>
      <c r="J49" s="263"/>
    </row>
    <row r="50" spans="1:42" ht="11.25" customHeight="1">
      <c r="A50" s="190" t="s">
        <v>56</v>
      </c>
      <c r="B50" s="7"/>
      <c r="C50" s="55" t="s">
        <v>12</v>
      </c>
      <c r="D50" s="106">
        <v>5</v>
      </c>
      <c r="E50" s="105">
        <v>24</v>
      </c>
      <c r="F50" s="107">
        <v>25.6</v>
      </c>
      <c r="G50" s="55" t="s">
        <v>12</v>
      </c>
      <c r="H50" s="105">
        <v>11.159275268630003</v>
      </c>
      <c r="I50" s="226">
        <v>18.6</v>
      </c>
      <c r="J50" s="227">
        <v>19.01</v>
      </c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</row>
    <row r="51" spans="1:42" ht="11.25" customHeight="1">
      <c r="A51" s="190" t="s">
        <v>57</v>
      </c>
      <c r="B51" s="7"/>
      <c r="C51" s="55" t="s">
        <v>12</v>
      </c>
      <c r="D51" s="106">
        <v>0.6</v>
      </c>
      <c r="E51" s="105">
        <v>3</v>
      </c>
      <c r="F51" s="107">
        <v>3.4</v>
      </c>
      <c r="G51" s="55" t="s">
        <v>12</v>
      </c>
      <c r="H51" s="105">
        <v>0.9783899110360688</v>
      </c>
      <c r="I51" s="226">
        <v>1.59</v>
      </c>
      <c r="J51" s="211">
        <v>1.52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</row>
    <row r="52" spans="1:42" ht="11.25" customHeight="1">
      <c r="A52" s="190" t="s">
        <v>134</v>
      </c>
      <c r="B52" s="7"/>
      <c r="C52" s="105">
        <v>14.3</v>
      </c>
      <c r="D52" s="106">
        <v>4.5</v>
      </c>
      <c r="E52" s="105">
        <v>3</v>
      </c>
      <c r="F52" s="107">
        <v>2.4</v>
      </c>
      <c r="G52" s="105">
        <v>2.6</v>
      </c>
      <c r="H52" s="228">
        <v>3</v>
      </c>
      <c r="I52" s="226">
        <v>3.05</v>
      </c>
      <c r="J52" s="229">
        <v>6.64</v>
      </c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</row>
    <row r="53" spans="1:42" ht="11.25" customHeight="1">
      <c r="A53" s="190" t="s">
        <v>133</v>
      </c>
      <c r="B53" s="7"/>
      <c r="C53" s="105">
        <v>13.8</v>
      </c>
      <c r="D53" s="106">
        <v>6.8</v>
      </c>
      <c r="E53" s="105">
        <v>8</v>
      </c>
      <c r="F53" s="107">
        <v>6</v>
      </c>
      <c r="G53" s="105">
        <v>5</v>
      </c>
      <c r="H53" s="228">
        <v>5.115898069057065</v>
      </c>
      <c r="I53" s="226">
        <v>6.69</v>
      </c>
      <c r="J53" s="229">
        <v>2.89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</row>
    <row r="54" spans="1:42" ht="11.25" customHeight="1">
      <c r="A54" s="190" t="s">
        <v>58</v>
      </c>
      <c r="B54" s="7"/>
      <c r="C54" s="105">
        <v>37.7</v>
      </c>
      <c r="D54" s="106">
        <v>16.5</v>
      </c>
      <c r="E54" s="105">
        <v>12.8</v>
      </c>
      <c r="F54" s="107">
        <v>10.8</v>
      </c>
      <c r="G54" s="105">
        <v>10</v>
      </c>
      <c r="H54" s="228">
        <v>10.8202121134129</v>
      </c>
      <c r="I54" s="226">
        <v>9.93</v>
      </c>
      <c r="J54" s="229">
        <v>9.55</v>
      </c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</row>
    <row r="55" spans="1:42" ht="11.25" customHeight="1">
      <c r="A55" s="190" t="s">
        <v>59</v>
      </c>
      <c r="B55" s="7"/>
      <c r="C55" s="105">
        <f aca="true" t="shared" si="0" ref="C55:H55">C34/C33*100</f>
        <v>103.2231918938627</v>
      </c>
      <c r="D55" s="105">
        <f t="shared" si="0"/>
        <v>76.93637044718662</v>
      </c>
      <c r="E55" s="105">
        <f t="shared" si="0"/>
        <v>56.615662658762055</v>
      </c>
      <c r="F55" s="105">
        <f t="shared" si="0"/>
        <v>51.648793347831855</v>
      </c>
      <c r="G55" s="105">
        <f t="shared" si="0"/>
        <v>117.77680610993313</v>
      </c>
      <c r="H55" s="105">
        <f t="shared" si="0"/>
        <v>69.85492693111061</v>
      </c>
      <c r="I55" s="226">
        <v>60.56</v>
      </c>
      <c r="J55" s="211">
        <v>57.38</v>
      </c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</row>
    <row r="56" spans="1:42" ht="11.25" customHeight="1" thickBot="1">
      <c r="A56" s="191" t="s">
        <v>60</v>
      </c>
      <c r="B56" s="161"/>
      <c r="C56" s="192">
        <v>5.274079939778703</v>
      </c>
      <c r="D56" s="193">
        <v>5.98569223767522</v>
      </c>
      <c r="E56" s="192">
        <v>8.058948139865377</v>
      </c>
      <c r="F56" s="194">
        <v>5.3</v>
      </c>
      <c r="G56" s="195">
        <v>4.7</v>
      </c>
      <c r="H56" s="196">
        <v>4.297805728422914</v>
      </c>
      <c r="I56" s="197">
        <v>3.62</v>
      </c>
      <c r="J56" s="212">
        <v>3.1</v>
      </c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1:8" ht="12.75">
      <c r="A57" s="3"/>
      <c r="B57" s="3"/>
      <c r="C57" s="3"/>
      <c r="D57" s="3"/>
      <c r="E57" s="4"/>
      <c r="H57" s="95"/>
    </row>
    <row r="58" spans="1:8" ht="12.75">
      <c r="A58" s="3"/>
      <c r="B58" s="3"/>
      <c r="C58" s="3"/>
      <c r="D58" s="3"/>
      <c r="E58" s="3"/>
      <c r="H58" s="95"/>
    </row>
    <row r="59" spans="1:8" ht="12.75">
      <c r="A59" s="3"/>
      <c r="B59" s="3"/>
      <c r="C59" s="3"/>
      <c r="D59" s="3"/>
      <c r="E59" s="3"/>
      <c r="H59" s="95"/>
    </row>
    <row r="60" spans="1:5" ht="12.75">
      <c r="A60" s="3"/>
      <c r="B60" s="3"/>
      <c r="C60" s="3"/>
      <c r="D60" s="3"/>
      <c r="E60" s="3"/>
    </row>
    <row r="61" spans="1:8" ht="12.75">
      <c r="A61" s="3"/>
      <c r="B61" s="3"/>
      <c r="C61" s="3"/>
      <c r="D61" s="3"/>
      <c r="E61" s="3"/>
      <c r="H61" s="96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</sheetData>
  <mergeCells count="4">
    <mergeCell ref="C3:J3"/>
    <mergeCell ref="A2:B3"/>
    <mergeCell ref="C49:J49"/>
    <mergeCell ref="A48:B49"/>
  </mergeCells>
  <printOptions/>
  <pageMargins left="0.45" right="0.28" top="0.28" bottom="0.31" header="0.17" footer="0.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2"/>
  <sheetViews>
    <sheetView workbookViewId="0" topLeftCell="A1">
      <pane xSplit="2" ySplit="4" topLeftCell="J5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B26" sqref="B26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8" width="7.125" style="0" customWidth="1"/>
    <col min="9" max="14" width="7.125" style="69" customWidth="1"/>
    <col min="15" max="18" width="7.125" style="0" customWidth="1"/>
  </cols>
  <sheetData>
    <row r="1" spans="1:8" ht="15">
      <c r="A1" s="68"/>
      <c r="B1" s="63"/>
      <c r="C1" s="63"/>
      <c r="D1" s="63"/>
      <c r="E1" s="63"/>
      <c r="F1" s="63"/>
      <c r="G1" s="63"/>
      <c r="H1" s="63"/>
    </row>
    <row r="2" spans="1:18" ht="13.5" thickBot="1">
      <c r="A2" s="98"/>
      <c r="B2" s="1"/>
      <c r="C2" s="1"/>
      <c r="D2" s="1"/>
      <c r="E2" s="1"/>
      <c r="F2" s="1"/>
      <c r="G2" s="1"/>
      <c r="H2" s="1"/>
      <c r="I2" s="84"/>
      <c r="J2" s="104"/>
      <c r="K2" s="84"/>
      <c r="L2" s="104"/>
      <c r="M2" s="84"/>
      <c r="N2" s="104"/>
      <c r="Q2" s="284" t="s">
        <v>68</v>
      </c>
      <c r="R2" s="284"/>
    </row>
    <row r="3" spans="1:18" ht="12.75">
      <c r="A3" s="271" t="s">
        <v>167</v>
      </c>
      <c r="B3" s="282"/>
      <c r="C3" s="285" t="s">
        <v>0</v>
      </c>
      <c r="D3" s="287"/>
      <c r="E3" s="285" t="s">
        <v>1</v>
      </c>
      <c r="F3" s="287"/>
      <c r="G3" s="285" t="s">
        <v>2</v>
      </c>
      <c r="H3" s="287"/>
      <c r="I3" s="198" t="s">
        <v>3</v>
      </c>
      <c r="J3" s="199"/>
      <c r="K3" s="285" t="s">
        <v>66</v>
      </c>
      <c r="L3" s="287"/>
      <c r="M3" s="285" t="s">
        <v>67</v>
      </c>
      <c r="N3" s="287"/>
      <c r="O3" s="285" t="s">
        <v>72</v>
      </c>
      <c r="P3" s="287"/>
      <c r="Q3" s="285" t="s">
        <v>74</v>
      </c>
      <c r="R3" s="286"/>
    </row>
    <row r="4" spans="1:18" ht="12.75" customHeight="1">
      <c r="A4" s="273"/>
      <c r="B4" s="283"/>
      <c r="C4" s="64" t="s">
        <v>69</v>
      </c>
      <c r="D4" s="64" t="s">
        <v>70</v>
      </c>
      <c r="E4" s="64" t="s">
        <v>69</v>
      </c>
      <c r="F4" s="64" t="s">
        <v>70</v>
      </c>
      <c r="G4" s="64" t="s">
        <v>69</v>
      </c>
      <c r="H4" s="64" t="s">
        <v>70</v>
      </c>
      <c r="I4" s="64" t="s">
        <v>69</v>
      </c>
      <c r="J4" s="64" t="s">
        <v>70</v>
      </c>
      <c r="K4" s="64" t="s">
        <v>69</v>
      </c>
      <c r="L4" s="99" t="s">
        <v>70</v>
      </c>
      <c r="M4" s="64" t="s">
        <v>69</v>
      </c>
      <c r="N4" s="64" t="s">
        <v>70</v>
      </c>
      <c r="O4" s="64" t="s">
        <v>69</v>
      </c>
      <c r="P4" s="64" t="s">
        <v>70</v>
      </c>
      <c r="Q4" s="64" t="s">
        <v>69</v>
      </c>
      <c r="R4" s="131" t="s">
        <v>70</v>
      </c>
    </row>
    <row r="5" spans="1:18" ht="12.75" customHeight="1">
      <c r="A5" s="181" t="s">
        <v>136</v>
      </c>
      <c r="B5" s="20"/>
      <c r="C5" s="11">
        <v>182737.501</v>
      </c>
      <c r="D5" s="97">
        <f>C5/$C$23*100</f>
        <v>62.96805361323775</v>
      </c>
      <c r="E5" s="11">
        <v>92970.564</v>
      </c>
      <c r="F5" s="97">
        <f>E5/$E$23*100</f>
        <v>57.19751344347201</v>
      </c>
      <c r="G5" s="11">
        <v>89057.259</v>
      </c>
      <c r="H5" s="97">
        <f>G5/$G$23*100</f>
        <v>48.37645893857033</v>
      </c>
      <c r="I5" s="11">
        <v>101014.52</v>
      </c>
      <c r="J5" s="97">
        <f>I5/$I$23*100</f>
        <v>49.23777092272056</v>
      </c>
      <c r="K5" s="11">
        <v>124573.1</v>
      </c>
      <c r="L5" s="100">
        <f>K5/$K$23*100</f>
        <v>57.97033939516341</v>
      </c>
      <c r="M5" s="10">
        <v>124911.26</v>
      </c>
      <c r="N5" s="13">
        <f>M5/$M$23*100</f>
        <v>55.47149674897054</v>
      </c>
      <c r="O5" s="70">
        <v>154489.768</v>
      </c>
      <c r="P5" s="111">
        <f>O5/$O$23*100</f>
        <v>55.77866823678552</v>
      </c>
      <c r="Q5" s="32">
        <v>191116.435</v>
      </c>
      <c r="R5" s="200">
        <f>Q5/$Q$23*100</f>
        <v>58.788248729660886</v>
      </c>
    </row>
    <row r="6" spans="1:18" ht="12.75" customHeight="1">
      <c r="A6" s="181"/>
      <c r="B6" s="20" t="s">
        <v>137</v>
      </c>
      <c r="C6" s="11">
        <v>18624.755</v>
      </c>
      <c r="D6" s="97">
        <f aca="true" t="shared" si="0" ref="D6:D23">C6/$C$23*100</f>
        <v>6.41775533185943</v>
      </c>
      <c r="E6" s="11">
        <v>9593.408</v>
      </c>
      <c r="F6" s="97">
        <f aca="true" t="shared" si="1" ref="F6:F23">E6/$E$23*100</f>
        <v>5.902073295464916</v>
      </c>
      <c r="G6" s="11">
        <v>14289.744</v>
      </c>
      <c r="H6" s="97">
        <f aca="true" t="shared" si="2" ref="H6:H23">G6/$G$23*100</f>
        <v>7.762278130058794</v>
      </c>
      <c r="I6" s="11">
        <v>20120.158</v>
      </c>
      <c r="J6" s="97">
        <f aca="true" t="shared" si="3" ref="J6:J23">I6/$I$23*100</f>
        <v>9.80722108596807</v>
      </c>
      <c r="K6" s="11">
        <v>20233.5</v>
      </c>
      <c r="L6" s="100">
        <f aca="true" t="shared" si="4" ref="L6:L23">K6/$K$23*100</f>
        <v>9.415699393785967</v>
      </c>
      <c r="M6" s="10">
        <v>14462.99</v>
      </c>
      <c r="N6" s="13">
        <f aca="true" t="shared" si="5" ref="N6:N23">M6/$M$23*100</f>
        <v>6.422829317111951</v>
      </c>
      <c r="O6" s="70">
        <v>30687.602</v>
      </c>
      <c r="P6" s="111">
        <f aca="true" t="shared" si="6" ref="P6:P23">O6/$O$23*100</f>
        <v>11.079786014958064</v>
      </c>
      <c r="Q6" s="10">
        <v>26806.252</v>
      </c>
      <c r="R6" s="200">
        <f aca="true" t="shared" si="7" ref="R6:R23">Q6/$Q$23*100</f>
        <v>8.245719998313957</v>
      </c>
    </row>
    <row r="7" spans="1:18" ht="12.75" customHeight="1">
      <c r="A7" s="181"/>
      <c r="B7" s="20" t="s">
        <v>138</v>
      </c>
      <c r="C7" s="11">
        <v>153335.893</v>
      </c>
      <c r="D7" s="97">
        <f t="shared" si="0"/>
        <v>52.83678871835775</v>
      </c>
      <c r="E7" s="11">
        <v>60989.728</v>
      </c>
      <c r="F7" s="97">
        <f t="shared" si="1"/>
        <v>37.52220742894173</v>
      </c>
      <c r="G7" s="11">
        <v>34323.798</v>
      </c>
      <c r="H7" s="97">
        <f t="shared" si="2"/>
        <v>18.64490130515675</v>
      </c>
      <c r="I7" s="11">
        <v>40002.477</v>
      </c>
      <c r="J7" s="97">
        <f t="shared" si="3"/>
        <v>19.498511687897917</v>
      </c>
      <c r="K7" s="11">
        <v>66969.7</v>
      </c>
      <c r="L7" s="100">
        <f t="shared" si="4"/>
        <v>31.164482847358492</v>
      </c>
      <c r="M7" s="10">
        <v>83650.45</v>
      </c>
      <c r="N7" s="13">
        <f t="shared" si="5"/>
        <v>37.148097499176</v>
      </c>
      <c r="O7" s="70">
        <v>94926.601</v>
      </c>
      <c r="P7" s="111">
        <f t="shared" si="6"/>
        <v>34.27333377848501</v>
      </c>
      <c r="Q7" s="10">
        <v>124365.006</v>
      </c>
      <c r="R7" s="200">
        <f t="shared" si="7"/>
        <v>38.25521811346977</v>
      </c>
    </row>
    <row r="8" spans="1:18" ht="24">
      <c r="A8" s="181"/>
      <c r="B8" s="36" t="s">
        <v>139</v>
      </c>
      <c r="C8" s="38">
        <v>10776.853</v>
      </c>
      <c r="D8" s="97">
        <f t="shared" si="0"/>
        <v>3.713509563020576</v>
      </c>
      <c r="E8" s="38">
        <v>22387.428</v>
      </c>
      <c r="F8" s="97">
        <f t="shared" si="1"/>
        <v>13.773232719065378</v>
      </c>
      <c r="G8" s="38">
        <v>40443.717</v>
      </c>
      <c r="H8" s="97">
        <f t="shared" si="2"/>
        <v>21.969279503354787</v>
      </c>
      <c r="I8" s="11">
        <v>40197.991</v>
      </c>
      <c r="J8" s="97">
        <f t="shared" si="3"/>
        <v>19.59381158680537</v>
      </c>
      <c r="K8" s="11">
        <v>36978.6</v>
      </c>
      <c r="L8" s="100">
        <f t="shared" si="4"/>
        <v>17.208064922186164</v>
      </c>
      <c r="M8" s="10">
        <v>26381.355</v>
      </c>
      <c r="N8" s="13">
        <f t="shared" si="5"/>
        <v>11.715623140107127</v>
      </c>
      <c r="O8" s="70">
        <v>27419.589</v>
      </c>
      <c r="P8" s="111">
        <f t="shared" si="6"/>
        <v>9.899867012681472</v>
      </c>
      <c r="Q8" s="10">
        <v>35492.47</v>
      </c>
      <c r="R8" s="200">
        <f t="shared" si="7"/>
        <v>10.917638529569826</v>
      </c>
    </row>
    <row r="9" spans="1:18" ht="12.75" customHeight="1">
      <c r="A9" s="181"/>
      <c r="B9" s="20" t="s">
        <v>140</v>
      </c>
      <c r="C9" s="11" t="s">
        <v>12</v>
      </c>
      <c r="D9" s="97" t="s">
        <v>12</v>
      </c>
      <c r="E9" s="11" t="s">
        <v>12</v>
      </c>
      <c r="F9" s="97" t="s">
        <v>12</v>
      </c>
      <c r="G9" s="11" t="s">
        <v>12</v>
      </c>
      <c r="H9" s="97" t="s">
        <v>12</v>
      </c>
      <c r="I9" s="11">
        <v>51.419</v>
      </c>
      <c r="J9" s="97">
        <f t="shared" si="3"/>
        <v>0.025063297267317295</v>
      </c>
      <c r="K9" s="11">
        <v>162.9</v>
      </c>
      <c r="L9" s="100">
        <f t="shared" si="4"/>
        <v>0.07580583839907748</v>
      </c>
      <c r="M9" s="10">
        <v>142.237</v>
      </c>
      <c r="N9" s="13">
        <f t="shared" si="5"/>
        <v>0.06316563681355326</v>
      </c>
      <c r="O9" s="70">
        <v>735.36</v>
      </c>
      <c r="P9" s="111">
        <f t="shared" si="6"/>
        <v>0.2655023824917816</v>
      </c>
      <c r="Q9" s="10">
        <v>3822.982</v>
      </c>
      <c r="R9" s="200">
        <f t="shared" si="7"/>
        <v>1.1759659325217973</v>
      </c>
    </row>
    <row r="10" spans="1:18" ht="12.75" customHeight="1">
      <c r="A10" s="181"/>
      <c r="B10" s="20" t="s">
        <v>141</v>
      </c>
      <c r="C10" s="11" t="s">
        <v>12</v>
      </c>
      <c r="D10" s="97" t="s">
        <v>12</v>
      </c>
      <c r="E10" s="11" t="s">
        <v>12</v>
      </c>
      <c r="F10" s="97" t="s">
        <v>12</v>
      </c>
      <c r="G10" s="11" t="s">
        <v>12</v>
      </c>
      <c r="H10" s="97" t="s">
        <v>12</v>
      </c>
      <c r="I10" s="11">
        <v>642.475</v>
      </c>
      <c r="J10" s="97">
        <f t="shared" si="3"/>
        <v>0.3131632647818837</v>
      </c>
      <c r="K10" s="11">
        <v>228.4</v>
      </c>
      <c r="L10" s="100">
        <f t="shared" si="4"/>
        <v>0.10628639343369733</v>
      </c>
      <c r="M10" s="10">
        <v>274.228</v>
      </c>
      <c r="N10" s="13">
        <f t="shared" si="5"/>
        <v>0.12178115576191206</v>
      </c>
      <c r="O10" s="70">
        <v>720.616</v>
      </c>
      <c r="P10" s="111">
        <f t="shared" si="6"/>
        <v>0.2601790481691929</v>
      </c>
      <c r="Q10" s="10">
        <v>629.725</v>
      </c>
      <c r="R10" s="200">
        <f t="shared" si="7"/>
        <v>0.19370615578553307</v>
      </c>
    </row>
    <row r="11" spans="1:18" ht="12.75" customHeight="1">
      <c r="A11" s="181" t="s">
        <v>150</v>
      </c>
      <c r="B11" s="20"/>
      <c r="C11" s="11">
        <v>26250.293</v>
      </c>
      <c r="D11" s="97">
        <f t="shared" si="0"/>
        <v>9.045378468797162</v>
      </c>
      <c r="E11" s="11">
        <v>33024.492</v>
      </c>
      <c r="F11" s="97">
        <f t="shared" si="1"/>
        <v>20.31738588929969</v>
      </c>
      <c r="G11" s="11">
        <v>36527.33</v>
      </c>
      <c r="H11" s="97">
        <f t="shared" si="2"/>
        <v>19.84187364087422</v>
      </c>
      <c r="I11" s="11">
        <v>48605.173</v>
      </c>
      <c r="J11" s="97">
        <f t="shared" si="3"/>
        <v>23.691746234434437</v>
      </c>
      <c r="K11" s="11">
        <v>49052.1</v>
      </c>
      <c r="L11" s="100">
        <f t="shared" si="4"/>
        <v>22.82649211623934</v>
      </c>
      <c r="M11" s="10">
        <v>52809.582</v>
      </c>
      <c r="N11" s="13">
        <f t="shared" si="5"/>
        <v>23.45206153734654</v>
      </c>
      <c r="O11" s="70">
        <v>65849.879</v>
      </c>
      <c r="P11" s="111">
        <f t="shared" si="6"/>
        <v>23.775157421256985</v>
      </c>
      <c r="Q11" s="10">
        <v>75106.257</v>
      </c>
      <c r="R11" s="200">
        <f t="shared" si="7"/>
        <v>23.103012138489472</v>
      </c>
    </row>
    <row r="12" spans="1:18" ht="12.75" customHeight="1">
      <c r="A12" s="181" t="s">
        <v>163</v>
      </c>
      <c r="B12" s="20"/>
      <c r="C12" s="11">
        <v>12078.89</v>
      </c>
      <c r="D12" s="97">
        <f t="shared" si="0"/>
        <v>4.162168076865631</v>
      </c>
      <c r="E12" s="11">
        <v>17295.036</v>
      </c>
      <c r="F12" s="97">
        <f t="shared" si="1"/>
        <v>10.640282381371081</v>
      </c>
      <c r="G12" s="11">
        <v>23271.455</v>
      </c>
      <c r="H12" s="97">
        <f t="shared" si="2"/>
        <v>12.641199604495881</v>
      </c>
      <c r="I12" s="11">
        <v>24235.85</v>
      </c>
      <c r="J12" s="97">
        <f t="shared" si="3"/>
        <v>11.813343570977883</v>
      </c>
      <c r="K12" s="11">
        <v>23201.9</v>
      </c>
      <c r="L12" s="100">
        <f t="shared" si="4"/>
        <v>10.797050226835825</v>
      </c>
      <c r="M12" s="10">
        <v>21889.047</v>
      </c>
      <c r="N12" s="13">
        <f t="shared" si="5"/>
        <v>9.720646477335697</v>
      </c>
      <c r="O12" s="70">
        <v>15617.916</v>
      </c>
      <c r="P12" s="111">
        <f t="shared" si="6"/>
        <v>5.638862472199352</v>
      </c>
      <c r="Q12" s="10">
        <v>16322.841</v>
      </c>
      <c r="R12" s="200">
        <f t="shared" si="7"/>
        <v>5.020977063969966</v>
      </c>
    </row>
    <row r="13" spans="1:18" ht="12.75" customHeight="1">
      <c r="A13" s="181" t="s">
        <v>164</v>
      </c>
      <c r="B13" s="20"/>
      <c r="C13" s="11">
        <v>28804.804</v>
      </c>
      <c r="D13" s="97">
        <f t="shared" si="0"/>
        <v>9.92561697880943</v>
      </c>
      <c r="E13" s="11" t="s">
        <v>12</v>
      </c>
      <c r="F13" s="97" t="s">
        <v>12</v>
      </c>
      <c r="G13" s="11">
        <v>5565.835</v>
      </c>
      <c r="H13" s="97">
        <f t="shared" si="2"/>
        <v>3.023396311089673</v>
      </c>
      <c r="I13" s="11">
        <v>10020.768</v>
      </c>
      <c r="J13" s="97">
        <f t="shared" si="3"/>
        <v>4.884449079733573</v>
      </c>
      <c r="K13" s="11" t="s">
        <v>12</v>
      </c>
      <c r="L13" s="100" t="s">
        <v>12</v>
      </c>
      <c r="M13" s="10">
        <v>1170.068</v>
      </c>
      <c r="N13" s="13">
        <f t="shared" si="5"/>
        <v>0.519612269206751</v>
      </c>
      <c r="O13" s="70">
        <v>5619.427</v>
      </c>
      <c r="P13" s="111">
        <f t="shared" si="6"/>
        <v>2.0288991198034223</v>
      </c>
      <c r="Q13" s="10">
        <v>3387.26</v>
      </c>
      <c r="R13" s="200">
        <f t="shared" si="7"/>
        <v>1.0419359454461943</v>
      </c>
    </row>
    <row r="14" spans="1:18" ht="12.75" customHeight="1">
      <c r="A14" s="181" t="s">
        <v>180</v>
      </c>
      <c r="B14" s="20"/>
      <c r="C14" s="11">
        <v>1188.484</v>
      </c>
      <c r="D14" s="97">
        <f t="shared" si="0"/>
        <v>0.4095301939719273</v>
      </c>
      <c r="E14" s="11">
        <v>389.181</v>
      </c>
      <c r="F14" s="97">
        <f t="shared" si="1"/>
        <v>0.23943261739752253</v>
      </c>
      <c r="G14" s="11" t="s">
        <v>12</v>
      </c>
      <c r="H14" s="97" t="s">
        <v>12</v>
      </c>
      <c r="I14" s="11" t="s">
        <v>12</v>
      </c>
      <c r="J14" s="97" t="s">
        <v>12</v>
      </c>
      <c r="K14" s="11" t="s">
        <v>12</v>
      </c>
      <c r="L14" s="100" t="s">
        <v>12</v>
      </c>
      <c r="M14" s="10" t="s">
        <v>12</v>
      </c>
      <c r="N14" s="13" t="s">
        <v>12</v>
      </c>
      <c r="O14" s="11" t="s">
        <v>12</v>
      </c>
      <c r="P14" s="12" t="s">
        <v>12</v>
      </c>
      <c r="Q14" s="10" t="s">
        <v>12</v>
      </c>
      <c r="R14" s="200" t="s">
        <v>12</v>
      </c>
    </row>
    <row r="15" spans="1:18" ht="12.75" customHeight="1">
      <c r="A15" s="181" t="s">
        <v>155</v>
      </c>
      <c r="B15" s="20"/>
      <c r="C15" s="11" t="s">
        <v>12</v>
      </c>
      <c r="D15" s="97" t="s">
        <v>12</v>
      </c>
      <c r="E15" s="11" t="s">
        <v>12</v>
      </c>
      <c r="F15" s="97" t="s">
        <v>12</v>
      </c>
      <c r="G15" s="11" t="s">
        <v>12</v>
      </c>
      <c r="H15" s="97" t="s">
        <v>12</v>
      </c>
      <c r="I15" s="11" t="s">
        <v>12</v>
      </c>
      <c r="J15" s="97" t="s">
        <v>12</v>
      </c>
      <c r="K15" s="11" t="s">
        <v>12</v>
      </c>
      <c r="L15" s="100" t="s">
        <v>12</v>
      </c>
      <c r="M15" s="10" t="s">
        <v>12</v>
      </c>
      <c r="N15" s="13" t="s">
        <v>12</v>
      </c>
      <c r="O15" s="11">
        <v>3838.161</v>
      </c>
      <c r="P15" s="12">
        <f t="shared" si="6"/>
        <v>1.3857714451248897</v>
      </c>
      <c r="Q15" s="10">
        <v>5254.907</v>
      </c>
      <c r="R15" s="200">
        <f t="shared" si="7"/>
        <v>1.616432306134405</v>
      </c>
    </row>
    <row r="16" spans="1:18" ht="12.75" customHeight="1">
      <c r="A16" s="181" t="s">
        <v>156</v>
      </c>
      <c r="B16" s="20"/>
      <c r="C16" s="11" t="s">
        <v>12</v>
      </c>
      <c r="D16" s="97" t="s">
        <v>12</v>
      </c>
      <c r="E16" s="11" t="s">
        <v>12</v>
      </c>
      <c r="F16" s="97" t="s">
        <v>12</v>
      </c>
      <c r="G16" s="11" t="s">
        <v>12</v>
      </c>
      <c r="H16" s="97" t="s">
        <v>12</v>
      </c>
      <c r="I16" s="11" t="s">
        <v>12</v>
      </c>
      <c r="J16" s="97" t="s">
        <v>12</v>
      </c>
      <c r="K16" s="11" t="s">
        <v>12</v>
      </c>
      <c r="L16" s="100" t="s">
        <v>12</v>
      </c>
      <c r="M16" s="10" t="s">
        <v>12</v>
      </c>
      <c r="N16" s="13" t="s">
        <v>12</v>
      </c>
      <c r="O16" s="11">
        <v>335.356</v>
      </c>
      <c r="P16" s="12">
        <f t="shared" si="6"/>
        <v>0.12108058227659094</v>
      </c>
      <c r="Q16" s="10">
        <v>4128.05</v>
      </c>
      <c r="R16" s="200">
        <f t="shared" si="7"/>
        <v>1.2698061795076736</v>
      </c>
    </row>
    <row r="17" spans="1:18" ht="12.75" customHeight="1">
      <c r="A17" s="181" t="s">
        <v>165</v>
      </c>
      <c r="B17" s="20"/>
      <c r="C17" s="11" t="s">
        <v>12</v>
      </c>
      <c r="D17" s="97" t="s">
        <v>12</v>
      </c>
      <c r="E17" s="11" t="s">
        <v>12</v>
      </c>
      <c r="F17" s="97" t="s">
        <v>12</v>
      </c>
      <c r="G17" s="11" t="s">
        <v>12</v>
      </c>
      <c r="H17" s="97" t="s">
        <v>12</v>
      </c>
      <c r="I17" s="11" t="s">
        <v>12</v>
      </c>
      <c r="J17" s="97" t="s">
        <v>12</v>
      </c>
      <c r="K17" s="11" t="s">
        <v>12</v>
      </c>
      <c r="L17" s="100" t="s">
        <v>12</v>
      </c>
      <c r="M17" s="10">
        <v>264.888</v>
      </c>
      <c r="N17" s="13">
        <f t="shared" si="5"/>
        <v>0.11763338093652492</v>
      </c>
      <c r="O17" s="11" t="s">
        <v>12</v>
      </c>
      <c r="P17" s="12" t="s">
        <v>12</v>
      </c>
      <c r="Q17" s="10" t="s">
        <v>12</v>
      </c>
      <c r="R17" s="200" t="s">
        <v>12</v>
      </c>
    </row>
    <row r="18" spans="1:18" ht="12.75" customHeight="1">
      <c r="A18" s="181" t="s">
        <v>158</v>
      </c>
      <c r="B18" s="20"/>
      <c r="C18" s="11">
        <v>341.968</v>
      </c>
      <c r="D18" s="97">
        <f t="shared" si="0"/>
        <v>0.11783601745769572</v>
      </c>
      <c r="E18" s="11">
        <v>436.161</v>
      </c>
      <c r="F18" s="97">
        <f t="shared" si="1"/>
        <v>0.2683357353948955</v>
      </c>
      <c r="G18" s="11">
        <v>427.604</v>
      </c>
      <c r="H18" s="97">
        <f t="shared" si="2"/>
        <v>0.23227716168502813</v>
      </c>
      <c r="I18" s="11">
        <v>372.705</v>
      </c>
      <c r="J18" s="97">
        <f t="shared" si="3"/>
        <v>0.1816685701397439</v>
      </c>
      <c r="K18" s="11">
        <v>368.4</v>
      </c>
      <c r="L18" s="100">
        <f t="shared" si="4"/>
        <v>0.1714356713702894</v>
      </c>
      <c r="M18" s="102">
        <v>196.669</v>
      </c>
      <c r="N18" s="13">
        <f t="shared" si="5"/>
        <v>0.08733819348330397</v>
      </c>
      <c r="O18" s="70">
        <v>356.119</v>
      </c>
      <c r="P18" s="111">
        <f t="shared" si="6"/>
        <v>0.12857708190626466</v>
      </c>
      <c r="Q18" s="102">
        <v>148.377</v>
      </c>
      <c r="R18" s="200">
        <f t="shared" si="7"/>
        <v>0.04564141216720004</v>
      </c>
    </row>
    <row r="19" spans="1:18" ht="12.75" customHeight="1">
      <c r="A19" s="181" t="s">
        <v>61</v>
      </c>
      <c r="B19" s="20"/>
      <c r="C19" s="11" t="s">
        <v>12</v>
      </c>
      <c r="D19" s="97" t="s">
        <v>12</v>
      </c>
      <c r="E19" s="11" t="s">
        <v>12</v>
      </c>
      <c r="F19" s="97" t="s">
        <v>12</v>
      </c>
      <c r="G19" s="11" t="s">
        <v>12</v>
      </c>
      <c r="H19" s="97" t="s">
        <v>12</v>
      </c>
      <c r="I19" s="11" t="s">
        <v>12</v>
      </c>
      <c r="J19" s="97" t="s">
        <v>12</v>
      </c>
      <c r="K19" s="11" t="s">
        <v>12</v>
      </c>
      <c r="L19" s="100" t="s">
        <v>12</v>
      </c>
      <c r="M19" s="10" t="s">
        <v>12</v>
      </c>
      <c r="N19" s="13" t="s">
        <v>12</v>
      </c>
      <c r="O19" s="11">
        <v>773.248</v>
      </c>
      <c r="P19" s="111">
        <f t="shared" si="6"/>
        <v>0.27918187861320326</v>
      </c>
      <c r="Q19" s="10">
        <v>2325.766</v>
      </c>
      <c r="R19" s="200">
        <f t="shared" si="7"/>
        <v>0.7154157626212968</v>
      </c>
    </row>
    <row r="20" spans="1:18" ht="12.75" customHeight="1">
      <c r="A20" s="181" t="s">
        <v>159</v>
      </c>
      <c r="B20" s="20"/>
      <c r="C20" s="11">
        <v>7857.193</v>
      </c>
      <c r="D20" s="97">
        <f t="shared" si="0"/>
        <v>2.7074472802030733</v>
      </c>
      <c r="E20" s="11">
        <v>3800.054</v>
      </c>
      <c r="F20" s="97">
        <f t="shared" si="1"/>
        <v>2.337875886726035</v>
      </c>
      <c r="G20" s="11">
        <v>3706.24</v>
      </c>
      <c r="H20" s="97">
        <f t="shared" si="2"/>
        <v>2.0132527004506944</v>
      </c>
      <c r="I20" s="11">
        <v>5167.52</v>
      </c>
      <c r="J20" s="97">
        <f t="shared" si="3"/>
        <v>2.518817750146978</v>
      </c>
      <c r="K20" s="11">
        <v>4206.7</v>
      </c>
      <c r="L20" s="100">
        <f t="shared" si="4"/>
        <v>1.957596196399013</v>
      </c>
      <c r="M20" s="10">
        <v>5030.832</v>
      </c>
      <c r="N20" s="13">
        <f t="shared" si="5"/>
        <v>2.2341282998235465</v>
      </c>
      <c r="O20" s="70">
        <v>3800.874</v>
      </c>
      <c r="P20" s="111">
        <f t="shared" si="6"/>
        <v>1.3723089405883755</v>
      </c>
      <c r="Q20" s="10">
        <v>10727.129</v>
      </c>
      <c r="R20" s="200">
        <f t="shared" si="7"/>
        <v>3.2997116538258915</v>
      </c>
    </row>
    <row r="21" spans="1:18" ht="12.75" customHeight="1">
      <c r="A21" s="181" t="s">
        <v>166</v>
      </c>
      <c r="B21" s="20"/>
      <c r="C21" s="11">
        <v>25729.158</v>
      </c>
      <c r="D21" s="97">
        <f t="shared" si="0"/>
        <v>8.865804728102662</v>
      </c>
      <c r="E21" s="11">
        <v>12502.066</v>
      </c>
      <c r="F21" s="97">
        <f t="shared" si="1"/>
        <v>7.6915429716676185</v>
      </c>
      <c r="G21" s="11">
        <v>24261.717</v>
      </c>
      <c r="H21" s="97">
        <f t="shared" si="2"/>
        <v>13.179116103603794</v>
      </c>
      <c r="I21" s="11">
        <v>14652.253</v>
      </c>
      <c r="J21" s="97">
        <f t="shared" si="3"/>
        <v>7.141985891887077</v>
      </c>
      <c r="K21" s="11">
        <f>12417.5-26.8</f>
        <v>12390.7</v>
      </c>
      <c r="L21" s="100">
        <f t="shared" si="4"/>
        <v>5.766036843778081</v>
      </c>
      <c r="M21" s="10">
        <v>16298.057</v>
      </c>
      <c r="N21" s="13">
        <f t="shared" si="5"/>
        <v>7.237759157101102</v>
      </c>
      <c r="O21" s="70">
        <v>25186.826</v>
      </c>
      <c r="P21" s="111">
        <f t="shared" si="6"/>
        <v>9.093725944307481</v>
      </c>
      <c r="Q21" s="10">
        <v>15577.825</v>
      </c>
      <c r="R21" s="200">
        <f t="shared" si="7"/>
        <v>4.791806893881888</v>
      </c>
    </row>
    <row r="22" spans="1:18" ht="12.75" customHeight="1">
      <c r="A22" s="181" t="s">
        <v>52</v>
      </c>
      <c r="B22" s="20"/>
      <c r="C22" s="11">
        <v>5218.394</v>
      </c>
      <c r="D22" s="97">
        <f t="shared" si="0"/>
        <v>1.7981646425546676</v>
      </c>
      <c r="E22" s="11">
        <v>2125.463</v>
      </c>
      <c r="F22" s="97">
        <f t="shared" si="1"/>
        <v>1.307631074671144</v>
      </c>
      <c r="G22" s="11">
        <v>1274.701</v>
      </c>
      <c r="H22" s="97">
        <f t="shared" si="2"/>
        <v>0.6924255392303792</v>
      </c>
      <c r="I22" s="11">
        <v>1087.777</v>
      </c>
      <c r="J22" s="97">
        <f t="shared" si="3"/>
        <v>0.5302179799597543</v>
      </c>
      <c r="K22" s="11">
        <v>1098.2</v>
      </c>
      <c r="L22" s="100">
        <f t="shared" si="4"/>
        <v>0.5110495502140386</v>
      </c>
      <c r="M22" s="102">
        <v>2610.577</v>
      </c>
      <c r="N22" s="13">
        <f t="shared" si="5"/>
        <v>1.1593239357959986</v>
      </c>
      <c r="O22" s="70">
        <v>1101.692</v>
      </c>
      <c r="P22" s="111">
        <f t="shared" si="6"/>
        <v>0.3977668771379132</v>
      </c>
      <c r="Q22" s="102">
        <v>998.074</v>
      </c>
      <c r="R22" s="200">
        <f t="shared" si="7"/>
        <v>0.30701191429511315</v>
      </c>
    </row>
    <row r="23" spans="1:18" ht="12.75" customHeight="1" thickBot="1">
      <c r="A23" s="186" t="s">
        <v>32</v>
      </c>
      <c r="B23" s="187"/>
      <c r="C23" s="201">
        <v>290206.685</v>
      </c>
      <c r="D23" s="202">
        <f t="shared" si="0"/>
        <v>100</v>
      </c>
      <c r="E23" s="201">
        <v>162543.017</v>
      </c>
      <c r="F23" s="202">
        <f t="shared" si="1"/>
        <v>100</v>
      </c>
      <c r="G23" s="201">
        <v>184092.141</v>
      </c>
      <c r="H23" s="202">
        <f t="shared" si="2"/>
        <v>100</v>
      </c>
      <c r="I23" s="201">
        <v>205156.566</v>
      </c>
      <c r="J23" s="202">
        <f t="shared" si="3"/>
        <v>100</v>
      </c>
      <c r="K23" s="201">
        <f>K5+K11+K12+K18+K20+K21+K22</f>
        <v>214891.10000000003</v>
      </c>
      <c r="L23" s="203">
        <f t="shared" si="4"/>
        <v>100</v>
      </c>
      <c r="M23" s="204">
        <f>SUM(M5,M11:M22)</f>
        <v>225180.97999999998</v>
      </c>
      <c r="N23" s="137">
        <f t="shared" si="5"/>
        <v>100</v>
      </c>
      <c r="O23" s="201">
        <f>SUM(O5,O11:O22)</f>
        <v>276969.266</v>
      </c>
      <c r="P23" s="205">
        <f t="shared" si="6"/>
        <v>100</v>
      </c>
      <c r="Q23" s="204">
        <v>325092.92100000003</v>
      </c>
      <c r="R23" s="206">
        <f t="shared" si="7"/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77"/>
      <c r="H31" s="77"/>
    </row>
    <row r="32" spans="1:8" ht="12.75">
      <c r="A32" s="3"/>
      <c r="B32" s="3"/>
      <c r="C32" s="3"/>
      <c r="D32" s="3"/>
      <c r="E32" s="3"/>
      <c r="F32" s="3"/>
      <c r="G32" s="77"/>
      <c r="H32" s="77"/>
    </row>
    <row r="33" spans="1:8" ht="12.75">
      <c r="A33" s="3"/>
      <c r="B33" s="3"/>
      <c r="C33" s="3"/>
      <c r="D33" s="3"/>
      <c r="E33" s="3"/>
      <c r="F33" s="3"/>
      <c r="G33" s="77"/>
      <c r="H33" s="77"/>
    </row>
    <row r="34" spans="1:8" ht="12.75">
      <c r="A34" s="3"/>
      <c r="B34" s="3"/>
      <c r="C34" s="3"/>
      <c r="D34" s="3"/>
      <c r="E34" s="3"/>
      <c r="F34" s="3"/>
      <c r="G34" s="77"/>
      <c r="H34" s="77"/>
    </row>
    <row r="35" spans="1:8" ht="12.75">
      <c r="A35" s="3"/>
      <c r="B35" s="3"/>
      <c r="C35" s="3"/>
      <c r="D35" s="3"/>
      <c r="E35" s="3"/>
      <c r="F35" s="3"/>
      <c r="G35" s="77"/>
      <c r="H35" s="77"/>
    </row>
    <row r="36" spans="1:8" ht="12.75">
      <c r="A36" s="3"/>
      <c r="B36" s="3"/>
      <c r="C36" s="3"/>
      <c r="D36" s="3"/>
      <c r="E36" s="3"/>
      <c r="F36" s="3"/>
      <c r="G36" s="77"/>
      <c r="H36" s="77"/>
    </row>
    <row r="37" spans="1:8" ht="12.75">
      <c r="A37" s="3"/>
      <c r="B37" s="3"/>
      <c r="C37" s="3"/>
      <c r="D37" s="3"/>
      <c r="E37" s="3"/>
      <c r="F37" s="3"/>
      <c r="G37" s="77"/>
      <c r="H37" s="77"/>
    </row>
    <row r="38" spans="1:8" ht="12.75">
      <c r="A38" s="3"/>
      <c r="B38" s="3"/>
      <c r="C38" s="3"/>
      <c r="D38" s="3"/>
      <c r="E38" s="3"/>
      <c r="F38" s="3"/>
      <c r="G38" s="77"/>
      <c r="H38" s="77"/>
    </row>
    <row r="39" spans="1:8" ht="12.75">
      <c r="A39" s="3"/>
      <c r="B39" s="3"/>
      <c r="C39" s="3"/>
      <c r="D39" s="3"/>
      <c r="E39" s="3"/>
      <c r="F39" s="3"/>
      <c r="G39" s="77"/>
      <c r="H39" s="77"/>
    </row>
    <row r="40" spans="1:8" ht="12.75">
      <c r="A40" s="3"/>
      <c r="B40" s="3"/>
      <c r="C40" s="3"/>
      <c r="D40" s="3"/>
      <c r="E40" s="3"/>
      <c r="F40" s="3"/>
      <c r="G40" s="77"/>
      <c r="H40" s="77"/>
    </row>
    <row r="41" spans="1:8" ht="12.75">
      <c r="A41" s="3"/>
      <c r="B41" s="3"/>
      <c r="C41" s="3"/>
      <c r="D41" s="3"/>
      <c r="E41" s="3"/>
      <c r="F41" s="3"/>
      <c r="G41" s="77"/>
      <c r="H41" s="77"/>
    </row>
    <row r="42" spans="1:8" ht="12.75">
      <c r="A42" s="3"/>
      <c r="B42" s="3"/>
      <c r="C42" s="3"/>
      <c r="D42" s="3"/>
      <c r="E42" s="3"/>
      <c r="F42" s="3"/>
      <c r="G42" s="77"/>
      <c r="H42" s="77"/>
    </row>
    <row r="43" spans="1:8" ht="12.75">
      <c r="A43" s="3"/>
      <c r="B43" s="3"/>
      <c r="C43" s="3"/>
      <c r="D43" s="3"/>
      <c r="E43" s="3"/>
      <c r="F43" s="3"/>
      <c r="G43" s="77"/>
      <c r="H43" s="77"/>
    </row>
    <row r="44" spans="1:8" ht="12.75">
      <c r="A44" s="3"/>
      <c r="B44" s="3"/>
      <c r="C44" s="3"/>
      <c r="D44" s="3"/>
      <c r="E44" s="3"/>
      <c r="F44" s="3"/>
      <c r="G44" s="77"/>
      <c r="H44" s="77"/>
    </row>
    <row r="45" spans="1:8" ht="12.75">
      <c r="A45" s="3"/>
      <c r="B45" s="3"/>
      <c r="C45" s="3"/>
      <c r="D45" s="3"/>
      <c r="E45" s="3"/>
      <c r="F45" s="3"/>
      <c r="G45" s="77"/>
      <c r="H45" s="77"/>
    </row>
    <row r="46" spans="1:8" ht="12.75">
      <c r="A46" s="3"/>
      <c r="B46" s="3"/>
      <c r="C46" s="3"/>
      <c r="D46" s="3"/>
      <c r="E46" s="3"/>
      <c r="F46" s="3"/>
      <c r="G46" s="77"/>
      <c r="H46" s="77"/>
    </row>
    <row r="47" spans="1:8" ht="12.75">
      <c r="A47" s="3"/>
      <c r="B47" s="3"/>
      <c r="C47" s="3"/>
      <c r="D47" s="3"/>
      <c r="E47" s="3"/>
      <c r="F47" s="3"/>
      <c r="G47" s="77"/>
      <c r="H47" s="77"/>
    </row>
    <row r="48" spans="1:8" ht="12.75">
      <c r="A48" s="3"/>
      <c r="B48" s="3"/>
      <c r="C48" s="3"/>
      <c r="D48" s="3"/>
      <c r="E48" s="3"/>
      <c r="F48" s="3"/>
      <c r="G48" s="77"/>
      <c r="H48" s="77"/>
    </row>
    <row r="49" spans="1:8" ht="12.75">
      <c r="A49" s="3"/>
      <c r="B49" s="3"/>
      <c r="C49" s="3"/>
      <c r="D49" s="3"/>
      <c r="E49" s="3"/>
      <c r="F49" s="3"/>
      <c r="G49" s="77"/>
      <c r="H49" s="77"/>
    </row>
    <row r="50" spans="1:8" ht="12.75">
      <c r="A50" s="3"/>
      <c r="B50" s="3"/>
      <c r="C50" s="3"/>
      <c r="D50" s="3"/>
      <c r="E50" s="3"/>
      <c r="F50" s="3"/>
      <c r="G50" s="77"/>
      <c r="H50" s="77"/>
    </row>
    <row r="51" spans="1:8" ht="12.75">
      <c r="A51" s="3"/>
      <c r="B51" s="3"/>
      <c r="C51" s="3"/>
      <c r="D51" s="3"/>
      <c r="E51" s="3"/>
      <c r="F51" s="3"/>
      <c r="G51" s="77"/>
      <c r="H51" s="77"/>
    </row>
    <row r="52" spans="1:8" ht="12.75">
      <c r="A52" s="3"/>
      <c r="B52" s="3"/>
      <c r="C52" s="3"/>
      <c r="D52" s="3"/>
      <c r="E52" s="3"/>
      <c r="F52" s="3"/>
      <c r="G52" s="77"/>
      <c r="H52" s="77"/>
    </row>
    <row r="53" spans="1:8" ht="12.75">
      <c r="A53" s="3"/>
      <c r="B53" s="3"/>
      <c r="C53" s="3"/>
      <c r="D53" s="3"/>
      <c r="E53" s="3"/>
      <c r="F53" s="3"/>
      <c r="G53" s="77"/>
      <c r="H53" s="77"/>
    </row>
    <row r="54" spans="1:8" ht="12.75">
      <c r="A54" s="3"/>
      <c r="B54" s="3"/>
      <c r="C54" s="3"/>
      <c r="D54" s="3"/>
      <c r="E54" s="3"/>
      <c r="F54" s="3"/>
      <c r="G54" s="77"/>
      <c r="H54" s="77"/>
    </row>
    <row r="55" spans="1:24" ht="12.75">
      <c r="A55" s="3"/>
      <c r="B55" s="3"/>
      <c r="C55" s="77"/>
      <c r="D55" s="77"/>
      <c r="E55" s="77"/>
      <c r="F55" s="77"/>
      <c r="G55" s="77"/>
      <c r="H55" s="77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2.75">
      <c r="A56" s="3"/>
      <c r="B56" s="3"/>
      <c r="C56" s="77"/>
      <c r="D56" s="77"/>
      <c r="E56" s="77"/>
      <c r="F56" s="77"/>
      <c r="G56" s="77"/>
      <c r="H56" s="77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2.75">
      <c r="A57" s="3"/>
      <c r="B57" s="3"/>
      <c r="C57" s="77"/>
      <c r="D57" s="77"/>
      <c r="E57" s="77"/>
      <c r="F57" s="77"/>
      <c r="G57" s="77"/>
      <c r="H57" s="77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2.75">
      <c r="A58" s="3"/>
      <c r="B58" s="3"/>
      <c r="C58" s="77"/>
      <c r="D58" s="77"/>
      <c r="E58" s="77"/>
      <c r="F58" s="77"/>
      <c r="G58" s="77"/>
      <c r="H58" s="77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2.75">
      <c r="A59" s="3"/>
      <c r="B59" s="3"/>
      <c r="C59" s="77"/>
      <c r="D59" s="77"/>
      <c r="E59" s="77"/>
      <c r="F59" s="77"/>
      <c r="G59" s="77"/>
      <c r="H59" s="77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2.75">
      <c r="A60" s="3"/>
      <c r="B60" s="3"/>
      <c r="C60" s="77"/>
      <c r="D60" s="77"/>
      <c r="E60" s="77"/>
      <c r="F60" s="77"/>
      <c r="G60" s="77"/>
      <c r="H60" s="77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2.75">
      <c r="A61" s="3"/>
      <c r="B61" s="3"/>
      <c r="C61" s="77">
        <v>5.274079939778703</v>
      </c>
      <c r="D61" s="77">
        <v>5.98569223767522</v>
      </c>
      <c r="E61" s="77">
        <v>9.530117611597904</v>
      </c>
      <c r="F61" s="77">
        <v>8.797711167659354</v>
      </c>
      <c r="G61" s="77">
        <v>6.2</v>
      </c>
      <c r="H61" s="77">
        <v>6</v>
      </c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</sheetData>
  <mergeCells count="9">
    <mergeCell ref="A3:B4"/>
    <mergeCell ref="Q2:R2"/>
    <mergeCell ref="Q3:R3"/>
    <mergeCell ref="O3:P3"/>
    <mergeCell ref="M3:N3"/>
    <mergeCell ref="G3:H3"/>
    <mergeCell ref="C3:D3"/>
    <mergeCell ref="K3:L3"/>
    <mergeCell ref="E3:F3"/>
  </mergeCells>
  <printOptions/>
  <pageMargins left="0.69" right="0.16" top="1" bottom="1" header="0.5" footer="0.5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1"/>
  <sheetViews>
    <sheetView tabSelected="1" workbookViewId="0" topLeftCell="A1">
      <pane xSplit="2" ySplit="4" topLeftCell="H5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Q30" sqref="Q30"/>
    </sheetView>
  </sheetViews>
  <sheetFormatPr defaultColWidth="9.00390625" defaultRowHeight="12.75"/>
  <cols>
    <col min="1" max="1" width="3.875" style="0" customWidth="1"/>
    <col min="2" max="2" width="47.625" style="0" customWidth="1"/>
    <col min="3" max="8" width="7.125" style="0" customWidth="1"/>
    <col min="9" max="14" width="7.125" style="69" customWidth="1"/>
    <col min="15" max="18" width="7.125" style="0" customWidth="1"/>
  </cols>
  <sheetData>
    <row r="1" spans="1:14" s="91" customFormat="1" ht="15">
      <c r="A1" s="68"/>
      <c r="B1" s="63"/>
      <c r="C1" s="63"/>
      <c r="D1" s="63"/>
      <c r="E1" s="63"/>
      <c r="F1" s="63"/>
      <c r="G1" s="63"/>
      <c r="H1" s="63"/>
      <c r="I1" s="69"/>
      <c r="J1" s="69"/>
      <c r="K1" s="69"/>
      <c r="L1" s="69"/>
      <c r="M1" s="69"/>
      <c r="N1" s="69"/>
    </row>
    <row r="2" spans="1:18" ht="13.5" thickBot="1">
      <c r="A2" s="98"/>
      <c r="B2" s="1"/>
      <c r="C2" s="1"/>
      <c r="D2" s="1"/>
      <c r="E2" s="1"/>
      <c r="F2" s="1"/>
      <c r="G2" s="1"/>
      <c r="H2" s="1"/>
      <c r="I2" s="84"/>
      <c r="J2" s="104"/>
      <c r="K2" s="84"/>
      <c r="L2" s="104"/>
      <c r="M2" s="84"/>
      <c r="N2" s="104"/>
      <c r="Q2" s="284" t="s">
        <v>68</v>
      </c>
      <c r="R2" s="284"/>
    </row>
    <row r="3" spans="1:18" ht="12.75">
      <c r="A3" s="271" t="s">
        <v>172</v>
      </c>
      <c r="B3" s="282"/>
      <c r="C3" s="257" t="s">
        <v>0</v>
      </c>
      <c r="D3" s="257"/>
      <c r="E3" s="257" t="s">
        <v>1</v>
      </c>
      <c r="F3" s="257"/>
      <c r="G3" s="288" t="s">
        <v>2</v>
      </c>
      <c r="H3" s="288"/>
      <c r="I3" s="257" t="s">
        <v>3</v>
      </c>
      <c r="J3" s="257"/>
      <c r="K3" s="288" t="s">
        <v>66</v>
      </c>
      <c r="L3" s="288"/>
      <c r="M3" s="288" t="s">
        <v>67</v>
      </c>
      <c r="N3" s="288"/>
      <c r="O3" s="288" t="s">
        <v>72</v>
      </c>
      <c r="P3" s="288"/>
      <c r="Q3" s="288" t="s">
        <v>74</v>
      </c>
      <c r="R3" s="289"/>
    </row>
    <row r="4" spans="1:18" ht="12.75" customHeight="1">
      <c r="A4" s="273"/>
      <c r="B4" s="283"/>
      <c r="C4" s="64" t="s">
        <v>69</v>
      </c>
      <c r="D4" s="64" t="s">
        <v>70</v>
      </c>
      <c r="E4" s="64" t="s">
        <v>69</v>
      </c>
      <c r="F4" s="64" t="s">
        <v>70</v>
      </c>
      <c r="G4" s="64" t="s">
        <v>69</v>
      </c>
      <c r="H4" s="64" t="s">
        <v>70</v>
      </c>
      <c r="I4" s="64" t="s">
        <v>69</v>
      </c>
      <c r="J4" s="64" t="s">
        <v>70</v>
      </c>
      <c r="K4" s="64" t="s">
        <v>69</v>
      </c>
      <c r="L4" s="64" t="s">
        <v>70</v>
      </c>
      <c r="M4" s="64" t="s">
        <v>69</v>
      </c>
      <c r="N4" s="64" t="s">
        <v>70</v>
      </c>
      <c r="O4" s="64" t="s">
        <v>69</v>
      </c>
      <c r="P4" s="64" t="s">
        <v>70</v>
      </c>
      <c r="Q4" s="64" t="s">
        <v>69</v>
      </c>
      <c r="R4" s="131" t="s">
        <v>70</v>
      </c>
    </row>
    <row r="5" spans="1:18" ht="12.75" customHeight="1">
      <c r="A5" s="181" t="s">
        <v>43</v>
      </c>
      <c r="B5" s="20"/>
      <c r="C5" s="11">
        <v>124609.739</v>
      </c>
      <c r="D5" s="97">
        <f>C5/$C$29*100</f>
        <v>41.81610527664313</v>
      </c>
      <c r="E5" s="30">
        <v>34993.62</v>
      </c>
      <c r="F5" s="97">
        <f>E5/$E$29*100</f>
        <v>22.269346953441154</v>
      </c>
      <c r="G5" s="11">
        <v>26600.838</v>
      </c>
      <c r="H5" s="97">
        <f>G5/$G$29*100</f>
        <v>17.266005243286934</v>
      </c>
      <c r="I5" s="11">
        <v>29817.933</v>
      </c>
      <c r="J5" s="97">
        <f>I5/$I$29*100</f>
        <v>18.738611121288255</v>
      </c>
      <c r="K5" s="11">
        <v>42597.4</v>
      </c>
      <c r="L5" s="13">
        <f>K5/$K$29*100</f>
        <v>17.505423519437755</v>
      </c>
      <c r="M5" s="11">
        <v>46066.05</v>
      </c>
      <c r="N5" s="13">
        <f>M5/$M$29*100</f>
        <v>22.22921974828498</v>
      </c>
      <c r="O5" s="11">
        <v>67110.506</v>
      </c>
      <c r="P5" s="13">
        <f>O5/$O$29*100</f>
        <v>28.119249995074668</v>
      </c>
      <c r="Q5" s="11">
        <v>90036.062</v>
      </c>
      <c r="R5" s="258">
        <f>Q5/$Q$29*100</f>
        <v>32.677773073216315</v>
      </c>
    </row>
    <row r="6" spans="1:18" ht="12.75" customHeight="1">
      <c r="A6" s="181"/>
      <c r="B6" s="20" t="s">
        <v>142</v>
      </c>
      <c r="C6" s="11">
        <v>22044.367</v>
      </c>
      <c r="D6" s="97">
        <f aca="true" t="shared" si="0" ref="D6:D29">C6/$C$29*100</f>
        <v>7.397572441981902</v>
      </c>
      <c r="E6" s="30">
        <v>9070.012</v>
      </c>
      <c r="F6" s="97">
        <f aca="true" t="shared" si="1" ref="F6:F29">E6/$E$29*100</f>
        <v>5.772001984929673</v>
      </c>
      <c r="G6" s="11">
        <v>7588.377</v>
      </c>
      <c r="H6" s="97">
        <f aca="true" t="shared" si="2" ref="H6:H29">G6/$G$29*100</f>
        <v>4.925444719825667</v>
      </c>
      <c r="I6" s="11">
        <v>6924.694</v>
      </c>
      <c r="J6" s="97">
        <f aca="true" t="shared" si="3" ref="J6:J29">I6/$I$29*100</f>
        <v>4.351715056839053</v>
      </c>
      <c r="K6" s="11">
        <v>12542.5</v>
      </c>
      <c r="L6" s="13">
        <f aca="true" t="shared" si="4" ref="L6:L29">K6/$K$29*100</f>
        <v>5.154346849632795</v>
      </c>
      <c r="M6" s="11">
        <v>12670.718</v>
      </c>
      <c r="N6" s="13">
        <f aca="true" t="shared" si="5" ref="N6:N29">M6/$M$29*100</f>
        <v>6.114267986739691</v>
      </c>
      <c r="O6" s="11">
        <v>14636.001</v>
      </c>
      <c r="P6" s="13">
        <f aca="true" t="shared" si="6" ref="P6:P29">O6/$O$29*100</f>
        <v>6.132473074292762</v>
      </c>
      <c r="Q6" s="11">
        <v>20554.037</v>
      </c>
      <c r="R6" s="258">
        <f aca="true" t="shared" si="7" ref="R6:R29">Q6/$Q$29*100</f>
        <v>7.459901531727274</v>
      </c>
    </row>
    <row r="7" spans="1:18" ht="12.75" customHeight="1">
      <c r="A7" s="181"/>
      <c r="B7" s="20" t="s">
        <v>143</v>
      </c>
      <c r="C7" s="11">
        <v>102493.821</v>
      </c>
      <c r="D7" s="97">
        <f t="shared" si="0"/>
        <v>34.39452199752554</v>
      </c>
      <c r="E7" s="30">
        <v>25768.954</v>
      </c>
      <c r="F7" s="97">
        <f t="shared" si="1"/>
        <v>16.39892578285028</v>
      </c>
      <c r="G7" s="11">
        <v>18599.479</v>
      </c>
      <c r="H7" s="97">
        <f t="shared" si="2"/>
        <v>12.072503202207583</v>
      </c>
      <c r="I7" s="11">
        <v>20355.559</v>
      </c>
      <c r="J7" s="97">
        <f t="shared" si="3"/>
        <v>12.792130972238727</v>
      </c>
      <c r="K7" s="11">
        <v>27727.3</v>
      </c>
      <c r="L7" s="13">
        <f t="shared" si="4"/>
        <v>11.394548248261781</v>
      </c>
      <c r="M7" s="11">
        <v>29704.988</v>
      </c>
      <c r="N7" s="13">
        <f t="shared" si="5"/>
        <v>14.334172473484665</v>
      </c>
      <c r="O7" s="11">
        <v>46710.907</v>
      </c>
      <c r="P7" s="13">
        <f t="shared" si="6"/>
        <v>19.571833826281733</v>
      </c>
      <c r="Q7" s="11">
        <v>60096.862</v>
      </c>
      <c r="R7" s="258">
        <f t="shared" si="7"/>
        <v>21.811611650100787</v>
      </c>
    </row>
    <row r="8" spans="1:18" ht="24">
      <c r="A8" s="181"/>
      <c r="B8" s="36" t="s">
        <v>144</v>
      </c>
      <c r="C8" s="38">
        <v>57.901</v>
      </c>
      <c r="D8" s="97">
        <f t="shared" si="0"/>
        <v>0.01943021734138223</v>
      </c>
      <c r="E8" s="101">
        <v>84.941</v>
      </c>
      <c r="F8" s="97">
        <f t="shared" si="1"/>
        <v>0.05405501344451489</v>
      </c>
      <c r="G8" s="38">
        <v>287.193</v>
      </c>
      <c r="H8" s="97">
        <f t="shared" si="2"/>
        <v>0.186410512474656</v>
      </c>
      <c r="I8" s="11">
        <v>1214.969</v>
      </c>
      <c r="J8" s="97">
        <f t="shared" si="3"/>
        <v>0.7635281632506341</v>
      </c>
      <c r="K8" s="11">
        <v>1111</v>
      </c>
      <c r="L8" s="13">
        <f t="shared" si="4"/>
        <v>0.45656602351541037</v>
      </c>
      <c r="M8" s="11">
        <v>787.193</v>
      </c>
      <c r="N8" s="13">
        <f t="shared" si="5"/>
        <v>0.37986079078435625</v>
      </c>
      <c r="O8" s="11">
        <v>1169.127</v>
      </c>
      <c r="P8" s="13">
        <f t="shared" si="6"/>
        <v>0.48986330678227435</v>
      </c>
      <c r="Q8" s="11">
        <v>1716.042</v>
      </c>
      <c r="R8" s="258">
        <f t="shared" si="7"/>
        <v>0.6228218984089761</v>
      </c>
    </row>
    <row r="9" spans="1:18" ht="12.75" customHeight="1">
      <c r="A9" s="181"/>
      <c r="B9" s="20" t="s">
        <v>145</v>
      </c>
      <c r="C9" s="11">
        <v>13.65</v>
      </c>
      <c r="D9" s="97">
        <f t="shared" si="0"/>
        <v>0.004580619794301782</v>
      </c>
      <c r="E9" s="30">
        <v>69.713</v>
      </c>
      <c r="F9" s="97">
        <f t="shared" si="1"/>
        <v>0.0443641722166853</v>
      </c>
      <c r="G9" s="11">
        <v>125.789</v>
      </c>
      <c r="H9" s="97">
        <f t="shared" si="2"/>
        <v>0.08164680877902493</v>
      </c>
      <c r="I9" s="11">
        <v>659.146</v>
      </c>
      <c r="J9" s="97">
        <f t="shared" si="3"/>
        <v>0.4142299389482385</v>
      </c>
      <c r="K9" s="11">
        <v>329.8</v>
      </c>
      <c r="L9" s="13">
        <f t="shared" si="4"/>
        <v>0.1355314802478689</v>
      </c>
      <c r="M9" s="11">
        <v>1092.227</v>
      </c>
      <c r="N9" s="13">
        <f t="shared" si="5"/>
        <v>0.5270552608267923</v>
      </c>
      <c r="O9" s="11">
        <v>1633.69</v>
      </c>
      <c r="P9" s="13">
        <f t="shared" si="6"/>
        <v>0.6845148436886103</v>
      </c>
      <c r="Q9" s="11">
        <v>2727.647</v>
      </c>
      <c r="R9" s="258">
        <f t="shared" si="7"/>
        <v>0.989974769107952</v>
      </c>
    </row>
    <row r="10" spans="1:18" ht="12.75" customHeight="1">
      <c r="A10" s="181"/>
      <c r="B10" s="20" t="s">
        <v>146</v>
      </c>
      <c r="C10" s="11" t="s">
        <v>12</v>
      </c>
      <c r="D10" s="97" t="s">
        <v>12</v>
      </c>
      <c r="E10" s="30" t="s">
        <v>12</v>
      </c>
      <c r="F10" s="97" t="s">
        <v>12</v>
      </c>
      <c r="G10" s="11" t="s">
        <v>12</v>
      </c>
      <c r="H10" s="97" t="s">
        <v>12</v>
      </c>
      <c r="I10" s="11">
        <v>224.744</v>
      </c>
      <c r="J10" s="97">
        <f t="shared" si="3"/>
        <v>0.1412368328093972</v>
      </c>
      <c r="K10" s="11">
        <v>82.6</v>
      </c>
      <c r="L10" s="13">
        <f t="shared" si="4"/>
        <v>0.03394451263939955</v>
      </c>
      <c r="M10" s="11">
        <v>96.877</v>
      </c>
      <c r="N10" s="13">
        <f t="shared" si="5"/>
        <v>0.04674809586571029</v>
      </c>
      <c r="O10" s="11">
        <v>643.184</v>
      </c>
      <c r="P10" s="13">
        <f t="shared" si="6"/>
        <v>0.2694935974530144</v>
      </c>
      <c r="Q10" s="11">
        <v>2003.011</v>
      </c>
      <c r="R10" s="258">
        <f t="shared" si="7"/>
        <v>0.7269746973291222</v>
      </c>
    </row>
    <row r="11" spans="1:18" ht="12.75" customHeight="1">
      <c r="A11" s="181"/>
      <c r="B11" s="20" t="s">
        <v>147</v>
      </c>
      <c r="C11" s="11" t="s">
        <v>12</v>
      </c>
      <c r="D11" s="97" t="s">
        <v>12</v>
      </c>
      <c r="E11" s="30" t="s">
        <v>12</v>
      </c>
      <c r="F11" s="97" t="s">
        <v>12</v>
      </c>
      <c r="G11" s="11" t="s">
        <v>12</v>
      </c>
      <c r="H11" s="97" t="s">
        <v>12</v>
      </c>
      <c r="I11" s="11">
        <v>438.821</v>
      </c>
      <c r="J11" s="97">
        <f t="shared" si="3"/>
        <v>0.2757701572022056</v>
      </c>
      <c r="K11" s="11">
        <v>804.2</v>
      </c>
      <c r="L11" s="13">
        <f t="shared" si="4"/>
        <v>0.3304864051404978</v>
      </c>
      <c r="M11" s="11">
        <v>1714.047</v>
      </c>
      <c r="N11" s="13">
        <f t="shared" si="5"/>
        <v>0.8271151405837623</v>
      </c>
      <c r="O11" s="11">
        <v>2317.597</v>
      </c>
      <c r="P11" s="13">
        <f t="shared" si="6"/>
        <v>0.9710713465762735</v>
      </c>
      <c r="Q11" s="11">
        <v>2938.463</v>
      </c>
      <c r="R11" s="258">
        <f t="shared" si="7"/>
        <v>1.066488526542203</v>
      </c>
    </row>
    <row r="12" spans="1:18" ht="12.75" customHeight="1">
      <c r="A12" s="181" t="s">
        <v>44</v>
      </c>
      <c r="B12" s="20"/>
      <c r="C12" s="11">
        <v>7754.049</v>
      </c>
      <c r="D12" s="97">
        <f t="shared" si="0"/>
        <v>2.602076947647321</v>
      </c>
      <c r="E12" s="30">
        <v>6337.769</v>
      </c>
      <c r="F12" s="97">
        <f t="shared" si="1"/>
        <v>4.0332488256934775</v>
      </c>
      <c r="G12" s="11">
        <v>10739.582</v>
      </c>
      <c r="H12" s="97">
        <f t="shared" si="2"/>
        <v>6.9708209614565515</v>
      </c>
      <c r="I12" s="11">
        <v>11227.989</v>
      </c>
      <c r="J12" s="97">
        <f t="shared" si="3"/>
        <v>7.056053132358375</v>
      </c>
      <c r="K12" s="11">
        <v>10306.7</v>
      </c>
      <c r="L12" s="13">
        <f t="shared" si="4"/>
        <v>4.2355436854782</v>
      </c>
      <c r="M12" s="11">
        <v>8095.913</v>
      </c>
      <c r="N12" s="13">
        <f t="shared" si="5"/>
        <v>3.906691134577353</v>
      </c>
      <c r="O12" s="11">
        <v>11428.247</v>
      </c>
      <c r="P12" s="13">
        <f t="shared" si="6"/>
        <v>4.788426634698032</v>
      </c>
      <c r="Q12" s="11">
        <v>14003.235</v>
      </c>
      <c r="R12" s="258">
        <f t="shared" si="7"/>
        <v>5.082347289033146</v>
      </c>
    </row>
    <row r="13" spans="1:18" ht="12.75" customHeight="1">
      <c r="A13" s="181" t="s">
        <v>169</v>
      </c>
      <c r="B13" s="20"/>
      <c r="C13" s="11" t="s">
        <v>12</v>
      </c>
      <c r="D13" s="97" t="s">
        <v>12</v>
      </c>
      <c r="E13" s="30" t="s">
        <v>12</v>
      </c>
      <c r="F13" s="97" t="s">
        <v>12</v>
      </c>
      <c r="G13" s="11" t="s">
        <v>12</v>
      </c>
      <c r="H13" s="97" t="s">
        <v>12</v>
      </c>
      <c r="I13" s="11" t="s">
        <v>12</v>
      </c>
      <c r="J13" s="97" t="s">
        <v>12</v>
      </c>
      <c r="K13" s="11" t="s">
        <v>12</v>
      </c>
      <c r="L13" s="13" t="s">
        <v>12</v>
      </c>
      <c r="M13" s="11" t="s">
        <v>12</v>
      </c>
      <c r="N13" s="13" t="s">
        <v>12</v>
      </c>
      <c r="O13" s="11" t="s">
        <v>12</v>
      </c>
      <c r="P13" s="13" t="s">
        <v>12</v>
      </c>
      <c r="Q13" s="11" t="s">
        <v>12</v>
      </c>
      <c r="R13" s="258" t="s">
        <v>12</v>
      </c>
    </row>
    <row r="14" spans="1:18" ht="12.75" customHeight="1">
      <c r="A14" s="181" t="s">
        <v>170</v>
      </c>
      <c r="B14" s="20"/>
      <c r="C14" s="11" t="s">
        <v>12</v>
      </c>
      <c r="D14" s="97" t="s">
        <v>12</v>
      </c>
      <c r="E14" s="30">
        <v>2133.581</v>
      </c>
      <c r="F14" s="97">
        <f t="shared" si="1"/>
        <v>1.3577748041577276</v>
      </c>
      <c r="G14" s="11" t="s">
        <v>12</v>
      </c>
      <c r="H14" s="97" t="s">
        <v>12</v>
      </c>
      <c r="I14" s="11" t="s">
        <v>12</v>
      </c>
      <c r="J14" s="97" t="s">
        <v>12</v>
      </c>
      <c r="K14" s="11">
        <v>3145</v>
      </c>
      <c r="L14" s="13">
        <f t="shared" si="4"/>
        <v>1.2924393734977189</v>
      </c>
      <c r="M14" s="11" t="s">
        <v>12</v>
      </c>
      <c r="N14" s="13" t="s">
        <v>12</v>
      </c>
      <c r="O14" s="11" t="s">
        <v>12</v>
      </c>
      <c r="P14" s="13" t="s">
        <v>12</v>
      </c>
      <c r="Q14" s="11" t="s">
        <v>12</v>
      </c>
      <c r="R14" s="258" t="s">
        <v>12</v>
      </c>
    </row>
    <row r="15" spans="1:18" ht="12.75" customHeight="1">
      <c r="A15" s="181" t="s">
        <v>171</v>
      </c>
      <c r="B15" s="20"/>
      <c r="C15" s="11" t="s">
        <v>12</v>
      </c>
      <c r="D15" s="97" t="s">
        <v>12</v>
      </c>
      <c r="E15" s="30" t="s">
        <v>12</v>
      </c>
      <c r="F15" s="97" t="s">
        <v>12</v>
      </c>
      <c r="G15" s="11">
        <v>884.158</v>
      </c>
      <c r="H15" s="97">
        <f t="shared" si="2"/>
        <v>0.5738870581405777</v>
      </c>
      <c r="I15" s="11" t="s">
        <v>12</v>
      </c>
      <c r="J15" s="97" t="s">
        <v>12</v>
      </c>
      <c r="K15" s="11" t="s">
        <v>12</v>
      </c>
      <c r="L15" s="13" t="s">
        <v>12</v>
      </c>
      <c r="M15" s="11" t="s">
        <v>12</v>
      </c>
      <c r="N15" s="13" t="s">
        <v>12</v>
      </c>
      <c r="O15" s="11" t="s">
        <v>12</v>
      </c>
      <c r="P15" s="13" t="s">
        <v>12</v>
      </c>
      <c r="Q15" s="11" t="s">
        <v>12</v>
      </c>
      <c r="R15" s="258" t="s">
        <v>12</v>
      </c>
    </row>
    <row r="16" spans="1:18" ht="12.75" customHeight="1">
      <c r="A16" s="181" t="s">
        <v>64</v>
      </c>
      <c r="B16" s="20"/>
      <c r="C16" s="11">
        <v>6659.608</v>
      </c>
      <c r="D16" s="97">
        <f t="shared" si="0"/>
        <v>2.2348082217648715</v>
      </c>
      <c r="E16" s="30">
        <v>54.727</v>
      </c>
      <c r="F16" s="97">
        <f t="shared" si="1"/>
        <v>0.034827335689219176</v>
      </c>
      <c r="G16" s="11">
        <v>274.98</v>
      </c>
      <c r="H16" s="97">
        <f t="shared" si="2"/>
        <v>0.1784833290514773</v>
      </c>
      <c r="I16" s="11">
        <v>1027.976</v>
      </c>
      <c r="J16" s="97">
        <f t="shared" si="3"/>
        <v>0.646015352775037</v>
      </c>
      <c r="K16" s="11">
        <v>36735</v>
      </c>
      <c r="L16" s="13">
        <f t="shared" si="4"/>
        <v>15.09626721317606</v>
      </c>
      <c r="M16" s="11">
        <v>4411.943</v>
      </c>
      <c r="N16" s="13">
        <f t="shared" si="5"/>
        <v>2.1289876267643457</v>
      </c>
      <c r="O16" s="11" t="s">
        <v>12</v>
      </c>
      <c r="P16" s="13" t="s">
        <v>12</v>
      </c>
      <c r="Q16" s="11" t="s">
        <v>12</v>
      </c>
      <c r="R16" s="258" t="s">
        <v>12</v>
      </c>
    </row>
    <row r="17" spans="1:18" ht="12.75" customHeight="1">
      <c r="A17" s="181" t="s">
        <v>177</v>
      </c>
      <c r="B17" s="20"/>
      <c r="C17" s="11" t="s">
        <v>12</v>
      </c>
      <c r="D17" s="97" t="s">
        <v>12</v>
      </c>
      <c r="E17" s="30" t="s">
        <v>12</v>
      </c>
      <c r="F17" s="97" t="s">
        <v>12</v>
      </c>
      <c r="G17" s="11" t="s">
        <v>12</v>
      </c>
      <c r="H17" s="97" t="s">
        <v>12</v>
      </c>
      <c r="I17" s="11">
        <v>772.822</v>
      </c>
      <c r="J17" s="97">
        <f t="shared" si="3"/>
        <v>0.4856678336481684</v>
      </c>
      <c r="K17" s="11">
        <v>9887</v>
      </c>
      <c r="L17" s="13">
        <f t="shared" si="4"/>
        <v>4.063067753822558</v>
      </c>
      <c r="M17" s="11">
        <v>1128.457</v>
      </c>
      <c r="N17" s="13">
        <f t="shared" si="5"/>
        <v>0.5445380845436155</v>
      </c>
      <c r="O17" s="11" t="s">
        <v>12</v>
      </c>
      <c r="P17" s="13" t="s">
        <v>12</v>
      </c>
      <c r="Q17" s="11" t="s">
        <v>12</v>
      </c>
      <c r="R17" s="258" t="s">
        <v>12</v>
      </c>
    </row>
    <row r="18" spans="1:18" ht="12.75" customHeight="1">
      <c r="A18" s="181" t="s">
        <v>179</v>
      </c>
      <c r="B18" s="20"/>
      <c r="C18" s="11" t="s">
        <v>12</v>
      </c>
      <c r="D18" s="97" t="s">
        <v>12</v>
      </c>
      <c r="E18" s="30" t="s">
        <v>12</v>
      </c>
      <c r="F18" s="97" t="s">
        <v>12</v>
      </c>
      <c r="G18" s="11" t="s">
        <v>12</v>
      </c>
      <c r="H18" s="97" t="s">
        <v>12</v>
      </c>
      <c r="I18" s="11">
        <v>5.717</v>
      </c>
      <c r="J18" s="97">
        <f t="shared" si="3"/>
        <v>0.0035927587529425648</v>
      </c>
      <c r="K18" s="11">
        <v>321</v>
      </c>
      <c r="L18" s="13">
        <f t="shared" si="4"/>
        <v>0.1319151157051726</v>
      </c>
      <c r="M18" s="11" t="s">
        <v>12</v>
      </c>
      <c r="N18" s="13" t="s">
        <v>12</v>
      </c>
      <c r="O18" s="11">
        <v>359.246</v>
      </c>
      <c r="P18" s="13">
        <f t="shared" si="6"/>
        <v>0.15052379554000972</v>
      </c>
      <c r="Q18" s="11">
        <v>71.364</v>
      </c>
      <c r="R18" s="258">
        <f t="shared" si="7"/>
        <v>0.025900917319073874</v>
      </c>
    </row>
    <row r="19" spans="1:18" ht="12.75" customHeight="1">
      <c r="A19" s="181" t="s">
        <v>178</v>
      </c>
      <c r="B19" s="20"/>
      <c r="C19" s="11" t="s">
        <v>12</v>
      </c>
      <c r="D19" s="97" t="s">
        <v>12</v>
      </c>
      <c r="E19" s="30" t="s">
        <v>12</v>
      </c>
      <c r="F19" s="97" t="s">
        <v>12</v>
      </c>
      <c r="G19" s="11" t="s">
        <v>12</v>
      </c>
      <c r="H19" s="97" t="s">
        <v>12</v>
      </c>
      <c r="I19" s="11">
        <v>33.322</v>
      </c>
      <c r="J19" s="97">
        <f t="shared" si="3"/>
        <v>0.020940686927680977</v>
      </c>
      <c r="K19" s="11">
        <v>198</v>
      </c>
      <c r="L19" s="13">
        <f t="shared" si="4"/>
        <v>0.0813682022106672</v>
      </c>
      <c r="M19" s="11">
        <v>2144.159</v>
      </c>
      <c r="N19" s="13">
        <f t="shared" si="5"/>
        <v>1.03466612801104</v>
      </c>
      <c r="O19" s="11" t="s">
        <v>12</v>
      </c>
      <c r="P19" s="13" t="s">
        <v>12</v>
      </c>
      <c r="Q19" s="11" t="s">
        <v>12</v>
      </c>
      <c r="R19" s="258" t="s">
        <v>12</v>
      </c>
    </row>
    <row r="20" spans="1:18" ht="12.75" customHeight="1">
      <c r="A20" s="181" t="s">
        <v>46</v>
      </c>
      <c r="B20" s="20"/>
      <c r="C20" s="11">
        <v>7870.596</v>
      </c>
      <c r="D20" s="97">
        <f t="shared" si="0"/>
        <v>2.641187386853657</v>
      </c>
      <c r="E20" s="30">
        <v>3731.159</v>
      </c>
      <c r="F20" s="97">
        <f t="shared" si="1"/>
        <v>2.3744463793529946</v>
      </c>
      <c r="G20" s="11">
        <v>2763.027</v>
      </c>
      <c r="H20" s="97">
        <f t="shared" si="2"/>
        <v>1.7934186385159507</v>
      </c>
      <c r="I20" s="11">
        <v>2166.59</v>
      </c>
      <c r="J20" s="97">
        <f t="shared" si="3"/>
        <v>1.3615594169210832</v>
      </c>
      <c r="K20" s="11">
        <v>1937.7</v>
      </c>
      <c r="L20" s="13">
        <f t="shared" si="4"/>
        <v>0.7962988152707567</v>
      </c>
      <c r="M20" s="11">
        <v>2272.978</v>
      </c>
      <c r="N20" s="13">
        <f t="shared" si="5"/>
        <v>1.096827868788778</v>
      </c>
      <c r="O20" s="11">
        <v>2244.638</v>
      </c>
      <c r="P20" s="13">
        <f t="shared" si="6"/>
        <v>0.9405015821285034</v>
      </c>
      <c r="Q20" s="11">
        <v>2541.95</v>
      </c>
      <c r="R20" s="258">
        <f>Q20/$Q$29*100</f>
        <v>0.9225777251726337</v>
      </c>
    </row>
    <row r="21" spans="1:18" ht="12.75" customHeight="1">
      <c r="A21" s="181" t="s">
        <v>62</v>
      </c>
      <c r="B21" s="20"/>
      <c r="C21" s="11">
        <v>87314.108</v>
      </c>
      <c r="D21" s="97">
        <f t="shared" si="0"/>
        <v>29.300566404879376</v>
      </c>
      <c r="E21" s="30">
        <v>47328.973</v>
      </c>
      <c r="F21" s="97">
        <f t="shared" si="1"/>
        <v>30.11935663378206</v>
      </c>
      <c r="G21" s="11">
        <v>37014.443</v>
      </c>
      <c r="H21" s="97">
        <f t="shared" si="2"/>
        <v>24.0252418707766</v>
      </c>
      <c r="I21" s="11">
        <v>18231.544</v>
      </c>
      <c r="J21" s="97">
        <f t="shared" si="3"/>
        <v>11.45732714459638</v>
      </c>
      <c r="K21" s="11">
        <f>46504.2-46.4</f>
        <v>46457.799999999996</v>
      </c>
      <c r="L21" s="13">
        <f t="shared" si="4"/>
        <v>19.09185689223603</v>
      </c>
      <c r="M21" s="11">
        <v>37065.727</v>
      </c>
      <c r="N21" s="13">
        <f t="shared" si="5"/>
        <v>17.88610463916354</v>
      </c>
      <c r="O21" s="11">
        <v>36388.306</v>
      </c>
      <c r="P21" s="13">
        <f t="shared" si="6"/>
        <v>15.246672008571585</v>
      </c>
      <c r="Q21" s="11">
        <v>30664.002</v>
      </c>
      <c r="R21" s="258">
        <f t="shared" si="7"/>
        <v>11.129221743090577</v>
      </c>
    </row>
    <row r="22" spans="1:18" ht="12.75" customHeight="1">
      <c r="A22" s="181" t="s">
        <v>48</v>
      </c>
      <c r="B22" s="20"/>
      <c r="C22" s="11">
        <v>52416.934</v>
      </c>
      <c r="D22" s="97">
        <f t="shared" si="0"/>
        <v>17.589893438608794</v>
      </c>
      <c r="E22" s="30">
        <v>50653.156</v>
      </c>
      <c r="F22" s="97">
        <f t="shared" si="1"/>
        <v>32.234810381171755</v>
      </c>
      <c r="G22" s="11">
        <v>59186.247</v>
      </c>
      <c r="H22" s="97">
        <f t="shared" si="2"/>
        <v>38.41646082850757</v>
      </c>
      <c r="I22" s="11">
        <v>72713.7</v>
      </c>
      <c r="J22" s="97">
        <f t="shared" si="3"/>
        <v>45.69578137726776</v>
      </c>
      <c r="K22" s="11">
        <v>73265.3</v>
      </c>
      <c r="L22" s="13">
        <f t="shared" si="4"/>
        <v>30.108412855682808</v>
      </c>
      <c r="M22" s="11">
        <v>84793.526</v>
      </c>
      <c r="N22" s="13">
        <f t="shared" si="5"/>
        <v>40.917203074409805</v>
      </c>
      <c r="O22" s="11">
        <v>95885.406</v>
      </c>
      <c r="P22" s="13">
        <f t="shared" si="6"/>
        <v>40.1759107909756</v>
      </c>
      <c r="Q22" s="11">
        <v>107179.008</v>
      </c>
      <c r="R22" s="258">
        <f t="shared" si="7"/>
        <v>38.89965002730168</v>
      </c>
    </row>
    <row r="23" spans="1:18" ht="12.75" customHeight="1">
      <c r="A23" s="181"/>
      <c r="B23" s="20" t="s">
        <v>160</v>
      </c>
      <c r="C23" s="11">
        <v>734.942</v>
      </c>
      <c r="D23" s="97">
        <f t="shared" si="0"/>
        <v>0.2466292947152923</v>
      </c>
      <c r="E23" s="30">
        <v>855.789</v>
      </c>
      <c r="F23" s="97">
        <f t="shared" si="1"/>
        <v>0.5446096219807626</v>
      </c>
      <c r="G23" s="11">
        <v>2955.574</v>
      </c>
      <c r="H23" s="97">
        <f t="shared" si="2"/>
        <v>1.9183965625790635</v>
      </c>
      <c r="I23" s="11">
        <v>2572.494</v>
      </c>
      <c r="J23" s="97">
        <f t="shared" si="3"/>
        <v>1.6166434030771788</v>
      </c>
      <c r="K23" s="11">
        <v>2311.8</v>
      </c>
      <c r="L23" s="13">
        <f t="shared" si="4"/>
        <v>0.950035403386972</v>
      </c>
      <c r="M23" s="11">
        <v>2890.922</v>
      </c>
      <c r="N23" s="13">
        <f t="shared" si="5"/>
        <v>1.3950173807641746</v>
      </c>
      <c r="O23" s="11">
        <v>3449.951</v>
      </c>
      <c r="P23" s="13">
        <f t="shared" si="6"/>
        <v>1.4455267948621615</v>
      </c>
      <c r="Q23" s="11">
        <v>3634.068</v>
      </c>
      <c r="R23" s="258">
        <f t="shared" si="7"/>
        <v>1.3189520598606044</v>
      </c>
    </row>
    <row r="24" spans="1:18" ht="12.75" customHeight="1">
      <c r="A24" s="181"/>
      <c r="B24" s="20" t="s">
        <v>161</v>
      </c>
      <c r="C24" s="11">
        <v>13759.661</v>
      </c>
      <c r="D24" s="97">
        <f t="shared" si="0"/>
        <v>4.617419453441922</v>
      </c>
      <c r="E24" s="30">
        <v>15060.309</v>
      </c>
      <c r="F24" s="97">
        <f t="shared" si="1"/>
        <v>9.584125516223597</v>
      </c>
      <c r="G24" s="11">
        <v>17807.146</v>
      </c>
      <c r="H24" s="97">
        <f t="shared" si="2"/>
        <v>11.558217684870527</v>
      </c>
      <c r="I24" s="11">
        <v>26032.38</v>
      </c>
      <c r="J24" s="97">
        <f t="shared" si="3"/>
        <v>16.35963986442662</v>
      </c>
      <c r="K24" s="11">
        <v>28108.6</v>
      </c>
      <c r="L24" s="13">
        <f t="shared" si="4"/>
        <v>11.551243680094746</v>
      </c>
      <c r="M24" s="11">
        <v>31437.572</v>
      </c>
      <c r="N24" s="13">
        <f t="shared" si="5"/>
        <v>15.170232662460334</v>
      </c>
      <c r="O24" s="11">
        <v>35900.353</v>
      </c>
      <c r="P24" s="13">
        <f t="shared" si="6"/>
        <v>15.04222007979539</v>
      </c>
      <c r="Q24" s="11">
        <v>40847.702</v>
      </c>
      <c r="R24" s="258">
        <f t="shared" si="7"/>
        <v>14.825303404744247</v>
      </c>
    </row>
    <row r="25" spans="1:18" ht="12.75" customHeight="1">
      <c r="A25" s="181"/>
      <c r="B25" s="20" t="s">
        <v>162</v>
      </c>
      <c r="C25" s="11">
        <v>37922.331</v>
      </c>
      <c r="D25" s="97">
        <f t="shared" si="0"/>
        <v>12.725844690451579</v>
      </c>
      <c r="E25" s="30">
        <v>34737.058</v>
      </c>
      <c r="F25" s="97">
        <f t="shared" si="1"/>
        <v>22.106075242967393</v>
      </c>
      <c r="G25" s="11">
        <v>38423.527</v>
      </c>
      <c r="H25" s="97">
        <f t="shared" si="2"/>
        <v>24.939846581057974</v>
      </c>
      <c r="I25" s="11">
        <v>44108.826</v>
      </c>
      <c r="J25" s="97">
        <f t="shared" si="3"/>
        <v>27.71949810976396</v>
      </c>
      <c r="K25" s="11">
        <v>42844.9</v>
      </c>
      <c r="L25" s="13">
        <f t="shared" si="4"/>
        <v>17.607133772201085</v>
      </c>
      <c r="M25" s="11">
        <v>50465.032</v>
      </c>
      <c r="N25" s="13">
        <f t="shared" si="5"/>
        <v>24.351953031185296</v>
      </c>
      <c r="O25" s="11">
        <v>56535.102</v>
      </c>
      <c r="P25" s="13">
        <f t="shared" si="6"/>
        <v>23.68816391631805</v>
      </c>
      <c r="Q25" s="11">
        <v>62697.238</v>
      </c>
      <c r="R25" s="258">
        <f t="shared" si="7"/>
        <v>22.75539456269683</v>
      </c>
    </row>
    <row r="26" spans="1:18" ht="12.75" customHeight="1">
      <c r="A26" s="185" t="s">
        <v>63</v>
      </c>
      <c r="B26" s="24"/>
      <c r="C26" s="11">
        <v>3305.986</v>
      </c>
      <c r="D26" s="97">
        <f t="shared" si="0"/>
        <v>1.1094113488120563</v>
      </c>
      <c r="E26" s="30">
        <v>5512.009</v>
      </c>
      <c r="F26" s="97">
        <f t="shared" si="1"/>
        <v>3.5077491506020304</v>
      </c>
      <c r="G26" s="11">
        <v>9168.589</v>
      </c>
      <c r="H26" s="97">
        <f t="shared" si="2"/>
        <v>5.951124763345534</v>
      </c>
      <c r="I26" s="11">
        <v>13565.803</v>
      </c>
      <c r="J26" s="97">
        <f t="shared" si="3"/>
        <v>8.525215579664948</v>
      </c>
      <c r="K26" s="11">
        <v>13985.3</v>
      </c>
      <c r="L26" s="13">
        <f t="shared" si="4"/>
        <v>5.747266254428505</v>
      </c>
      <c r="M26" s="11">
        <v>15863.808</v>
      </c>
      <c r="N26" s="13">
        <f t="shared" si="5"/>
        <v>7.655096846302238</v>
      </c>
      <c r="O26" s="11">
        <v>17882.023</v>
      </c>
      <c r="P26" s="13">
        <f t="shared" si="6"/>
        <v>7.492553776225069</v>
      </c>
      <c r="Q26" s="11">
        <v>21490.427</v>
      </c>
      <c r="R26" s="258">
        <f t="shared" si="7"/>
        <v>7.799755799543086</v>
      </c>
    </row>
    <row r="27" spans="1:18" ht="12.75" customHeight="1">
      <c r="A27" s="181" t="s">
        <v>53</v>
      </c>
      <c r="B27" s="20"/>
      <c r="C27" s="11">
        <v>3775.07</v>
      </c>
      <c r="D27" s="97">
        <f t="shared" si="0"/>
        <v>1.266824935302185</v>
      </c>
      <c r="E27" s="30">
        <v>4993.901</v>
      </c>
      <c r="F27" s="97">
        <f t="shared" si="1"/>
        <v>3.1780339964866946</v>
      </c>
      <c r="G27" s="11">
        <v>2730.436</v>
      </c>
      <c r="H27" s="97">
        <f t="shared" si="2"/>
        <v>1.7722645539384665</v>
      </c>
      <c r="I27" s="11">
        <v>2519.074</v>
      </c>
      <c r="J27" s="97">
        <f t="shared" si="3"/>
        <v>1.5830724440808182</v>
      </c>
      <c r="K27" s="11">
        <v>1386.2</v>
      </c>
      <c r="L27" s="13">
        <f t="shared" si="4"/>
        <v>0.5696596055779135</v>
      </c>
      <c r="M27" s="11">
        <v>1899.229</v>
      </c>
      <c r="N27" s="13">
        <f t="shared" si="5"/>
        <v>0.916474904909701</v>
      </c>
      <c r="O27" s="11">
        <v>950.3</v>
      </c>
      <c r="P27" s="13">
        <f t="shared" si="6"/>
        <v>0.39817496340020825</v>
      </c>
      <c r="Q27" s="11">
        <v>479.94</v>
      </c>
      <c r="R27" s="258">
        <f t="shared" si="7"/>
        <v>0.1741898752608642</v>
      </c>
    </row>
    <row r="28" spans="1:18" ht="12.75" customHeight="1">
      <c r="A28" s="181" t="s">
        <v>55</v>
      </c>
      <c r="B28" s="20"/>
      <c r="C28" s="11">
        <v>4288.518</v>
      </c>
      <c r="D28" s="97">
        <f t="shared" si="0"/>
        <v>1.4391260394886072</v>
      </c>
      <c r="E28" s="30">
        <v>1399.166</v>
      </c>
      <c r="F28" s="97">
        <f t="shared" si="1"/>
        <v>0.8904055396228926</v>
      </c>
      <c r="G28" s="11">
        <v>4702.509</v>
      </c>
      <c r="H28" s="97">
        <f t="shared" si="2"/>
        <v>3.052292752980338</v>
      </c>
      <c r="I28" s="11">
        <v>7043.16</v>
      </c>
      <c r="J28" s="97">
        <f t="shared" si="3"/>
        <v>4.4261631517185505</v>
      </c>
      <c r="K28" s="11">
        <v>3115.9</v>
      </c>
      <c r="L28" s="13">
        <f t="shared" si="4"/>
        <v>1.2804807134758482</v>
      </c>
      <c r="M28" s="11">
        <v>3490.18</v>
      </c>
      <c r="N28" s="13">
        <f t="shared" si="5"/>
        <v>1.6841899442446067</v>
      </c>
      <c r="O28" s="11">
        <v>6415.254</v>
      </c>
      <c r="P28" s="13">
        <f t="shared" si="6"/>
        <v>2.687986453386341</v>
      </c>
      <c r="Q28" s="11">
        <v>9060.933</v>
      </c>
      <c r="R28" s="258">
        <f t="shared" si="7"/>
        <v>3.2885835500626093</v>
      </c>
    </row>
    <row r="29" spans="1:18" ht="12.75" customHeight="1" thickBot="1">
      <c r="A29" s="186" t="s">
        <v>32</v>
      </c>
      <c r="B29" s="187"/>
      <c r="C29" s="201">
        <f>SUM(C23:C28,C6:C21)</f>
        <v>297994.608</v>
      </c>
      <c r="D29" s="202">
        <f t="shared" si="0"/>
        <v>100</v>
      </c>
      <c r="E29" s="259">
        <f>SUM(E23:E28,E6:E21)</f>
        <v>157138.061</v>
      </c>
      <c r="F29" s="202">
        <f t="shared" si="1"/>
        <v>100</v>
      </c>
      <c r="G29" s="201">
        <f>SUM(G23:G28,G6:G21)</f>
        <v>154064.809</v>
      </c>
      <c r="H29" s="202">
        <f t="shared" si="2"/>
        <v>100</v>
      </c>
      <c r="I29" s="201">
        <v>159125.63</v>
      </c>
      <c r="J29" s="202">
        <f t="shared" si="3"/>
        <v>100</v>
      </c>
      <c r="K29" s="201">
        <f>K5+K12+K14+K16+K17+K18+K19+K20+K21+K22+K26+K27+K28</f>
        <v>243338.30000000002</v>
      </c>
      <c r="L29" s="137">
        <f t="shared" si="4"/>
        <v>100</v>
      </c>
      <c r="M29" s="201">
        <f>SUM(M5,M12,M16:M17,M19:M22,M26:M28)</f>
        <v>207231.97</v>
      </c>
      <c r="N29" s="137">
        <f t="shared" si="5"/>
        <v>100</v>
      </c>
      <c r="O29" s="201">
        <v>238663.92599999995</v>
      </c>
      <c r="P29" s="260">
        <f t="shared" si="6"/>
        <v>100</v>
      </c>
      <c r="Q29" s="201">
        <f>Q5+Q12+Q18+Q20+Q21+Q22+Q26+Q27+Q28</f>
        <v>275526.92100000003</v>
      </c>
      <c r="R29" s="261">
        <f t="shared" si="7"/>
        <v>100</v>
      </c>
    </row>
    <row r="30" spans="1:14" ht="12.75">
      <c r="A30" s="3"/>
      <c r="B30" s="3"/>
      <c r="C30" s="3"/>
      <c r="D30" s="3"/>
      <c r="E30" s="3"/>
      <c r="F30" s="3"/>
      <c r="G30" s="3"/>
      <c r="H30" s="3"/>
      <c r="M30" s="103"/>
      <c r="N30" s="103"/>
    </row>
    <row r="31" spans="1:8" ht="12.75">
      <c r="A31" s="3"/>
      <c r="B31" s="3"/>
      <c r="C31" s="3"/>
      <c r="D31" s="3"/>
      <c r="E31" s="3"/>
      <c r="F31" s="3"/>
      <c r="G31" s="77"/>
      <c r="H31" s="77"/>
    </row>
    <row r="32" spans="1:8" ht="12.75">
      <c r="A32" s="3"/>
      <c r="B32" s="3"/>
      <c r="C32" s="3"/>
      <c r="D32" s="3"/>
      <c r="E32" s="3"/>
      <c r="F32" s="3"/>
      <c r="G32" s="77"/>
      <c r="H32" s="77"/>
    </row>
    <row r="33" spans="1:8" ht="12.75">
      <c r="A33" s="3"/>
      <c r="B33" s="3"/>
      <c r="C33" s="3"/>
      <c r="D33" s="3"/>
      <c r="E33" s="3"/>
      <c r="F33" s="3"/>
      <c r="G33" s="77"/>
      <c r="H33" s="77"/>
    </row>
    <row r="34" spans="1:8" ht="12.75">
      <c r="A34" s="3"/>
      <c r="B34" s="3"/>
      <c r="C34" s="3"/>
      <c r="D34" s="3"/>
      <c r="E34" s="3"/>
      <c r="F34" s="3"/>
      <c r="G34" s="77"/>
      <c r="H34" s="77"/>
    </row>
    <row r="35" spans="1:8" ht="12.75">
      <c r="A35" s="3"/>
      <c r="B35" s="3"/>
      <c r="C35" s="3"/>
      <c r="D35" s="3"/>
      <c r="E35" s="3"/>
      <c r="F35" s="3"/>
      <c r="G35" s="77"/>
      <c r="H35" s="77"/>
    </row>
    <row r="36" spans="1:8" ht="12.75">
      <c r="A36" s="3"/>
      <c r="B36" s="3"/>
      <c r="C36" s="3"/>
      <c r="D36" s="3"/>
      <c r="E36" s="3"/>
      <c r="F36" s="3"/>
      <c r="G36" s="77"/>
      <c r="H36" s="77"/>
    </row>
    <row r="37" spans="1:8" ht="12.75">
      <c r="A37" s="3"/>
      <c r="B37" s="3"/>
      <c r="C37" s="3"/>
      <c r="D37" s="3"/>
      <c r="E37" s="3"/>
      <c r="F37" s="3"/>
      <c r="G37" s="77"/>
      <c r="H37" s="77"/>
    </row>
    <row r="38" spans="1:8" ht="12.75">
      <c r="A38" s="3"/>
      <c r="B38" s="3"/>
      <c r="C38" s="3"/>
      <c r="D38" s="3"/>
      <c r="E38" s="3"/>
      <c r="F38" s="3"/>
      <c r="G38" s="77"/>
      <c r="H38" s="77"/>
    </row>
    <row r="39" spans="1:8" ht="12.75">
      <c r="A39" s="3"/>
      <c r="B39" s="3"/>
      <c r="C39" s="3"/>
      <c r="D39" s="3"/>
      <c r="E39" s="3"/>
      <c r="F39" s="3"/>
      <c r="G39" s="77"/>
      <c r="H39" s="77"/>
    </row>
    <row r="40" spans="1:8" ht="12.75">
      <c r="A40" s="3"/>
      <c r="B40" s="3"/>
      <c r="C40" s="3"/>
      <c r="D40" s="3"/>
      <c r="E40" s="3"/>
      <c r="F40" s="3"/>
      <c r="G40" s="77"/>
      <c r="H40" s="77"/>
    </row>
    <row r="41" spans="1:8" ht="12.75">
      <c r="A41" s="3"/>
      <c r="B41" s="3"/>
      <c r="C41" s="3"/>
      <c r="D41" s="3"/>
      <c r="E41" s="3"/>
      <c r="F41" s="3"/>
      <c r="G41" s="77"/>
      <c r="H41" s="77"/>
    </row>
    <row r="42" spans="1:8" ht="12.75">
      <c r="A42" s="3"/>
      <c r="B42" s="3"/>
      <c r="C42" s="3"/>
      <c r="D42" s="3"/>
      <c r="E42" s="3"/>
      <c r="F42" s="3"/>
      <c r="G42" s="77"/>
      <c r="H42" s="77"/>
    </row>
    <row r="43" spans="1:8" ht="12.75">
      <c r="A43" s="3"/>
      <c r="B43" s="3"/>
      <c r="C43" s="3"/>
      <c r="D43" s="3"/>
      <c r="E43" s="3"/>
      <c r="F43" s="3"/>
      <c r="G43" s="77"/>
      <c r="H43" s="77"/>
    </row>
    <row r="44" spans="1:8" ht="12.75">
      <c r="A44" s="3"/>
      <c r="B44" s="3"/>
      <c r="C44" s="3"/>
      <c r="D44" s="3"/>
      <c r="E44" s="3"/>
      <c r="F44" s="3"/>
      <c r="G44" s="77"/>
      <c r="H44" s="77"/>
    </row>
    <row r="45" spans="1:8" ht="12.75">
      <c r="A45" s="3"/>
      <c r="B45" s="3"/>
      <c r="C45" s="3"/>
      <c r="D45" s="3"/>
      <c r="E45" s="3"/>
      <c r="F45" s="3"/>
      <c r="G45" s="77"/>
      <c r="H45" s="77"/>
    </row>
    <row r="46" spans="1:8" ht="12.75">
      <c r="A46" s="3"/>
      <c r="B46" s="3"/>
      <c r="C46" s="3"/>
      <c r="D46" s="3"/>
      <c r="E46" s="3"/>
      <c r="F46" s="3"/>
      <c r="G46" s="77"/>
      <c r="H46" s="77"/>
    </row>
    <row r="47" spans="1:8" ht="12.75">
      <c r="A47" s="3"/>
      <c r="B47" s="3"/>
      <c r="C47" s="3"/>
      <c r="D47" s="3"/>
      <c r="E47" s="3"/>
      <c r="F47" s="3"/>
      <c r="G47" s="77"/>
      <c r="H47" s="77"/>
    </row>
    <row r="48" spans="1:8" ht="12.75">
      <c r="A48" s="3"/>
      <c r="B48" s="3"/>
      <c r="C48" s="3"/>
      <c r="D48" s="3"/>
      <c r="E48" s="3"/>
      <c r="F48" s="3"/>
      <c r="G48" s="77"/>
      <c r="H48" s="77"/>
    </row>
    <row r="49" spans="1:8" ht="12.75">
      <c r="A49" s="3"/>
      <c r="B49" s="3"/>
      <c r="C49" s="3"/>
      <c r="D49" s="3"/>
      <c r="E49" s="3"/>
      <c r="F49" s="3"/>
      <c r="G49" s="77"/>
      <c r="H49" s="77"/>
    </row>
    <row r="50" spans="1:8" ht="12.75">
      <c r="A50" s="3"/>
      <c r="B50" s="3"/>
      <c r="C50" s="3"/>
      <c r="D50" s="3"/>
      <c r="E50" s="3"/>
      <c r="F50" s="3"/>
      <c r="G50" s="77"/>
      <c r="H50" s="77"/>
    </row>
    <row r="51" spans="1:8" ht="12.75">
      <c r="A51" s="3"/>
      <c r="B51" s="3"/>
      <c r="C51" s="3"/>
      <c r="D51" s="3"/>
      <c r="E51" s="3"/>
      <c r="F51" s="3"/>
      <c r="G51" s="77"/>
      <c r="H51" s="77"/>
    </row>
    <row r="52" spans="1:8" ht="12.75">
      <c r="A52" s="3"/>
      <c r="B52" s="3"/>
      <c r="C52" s="3"/>
      <c r="D52" s="3"/>
      <c r="E52" s="3"/>
      <c r="F52" s="3"/>
      <c r="G52" s="77"/>
      <c r="H52" s="77"/>
    </row>
    <row r="53" spans="1:8" ht="12.75">
      <c r="A53" s="3"/>
      <c r="B53" s="3"/>
      <c r="C53" s="3"/>
      <c r="D53" s="3"/>
      <c r="E53" s="3"/>
      <c r="F53" s="3"/>
      <c r="G53" s="77"/>
      <c r="H53" s="77"/>
    </row>
    <row r="54" spans="1:8" ht="12.75">
      <c r="A54" s="3"/>
      <c r="B54" s="3"/>
      <c r="C54" s="3"/>
      <c r="D54" s="3"/>
      <c r="E54" s="3"/>
      <c r="F54" s="3"/>
      <c r="G54" s="77"/>
      <c r="H54" s="77"/>
    </row>
    <row r="55" spans="1:24" ht="12.75">
      <c r="A55" s="3"/>
      <c r="B55" s="3"/>
      <c r="C55" s="77"/>
      <c r="D55" s="77"/>
      <c r="E55" s="77"/>
      <c r="F55" s="77"/>
      <c r="G55" s="77"/>
      <c r="H55" s="77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2.75">
      <c r="A56" s="3"/>
      <c r="B56" s="3"/>
      <c r="C56" s="77"/>
      <c r="D56" s="77"/>
      <c r="E56" s="77"/>
      <c r="F56" s="77"/>
      <c r="G56" s="77"/>
      <c r="H56" s="77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2.75">
      <c r="A57" s="3"/>
      <c r="B57" s="3"/>
      <c r="C57" s="77"/>
      <c r="D57" s="77"/>
      <c r="E57" s="77"/>
      <c r="F57" s="77"/>
      <c r="G57" s="77"/>
      <c r="H57" s="77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2.75">
      <c r="A58" s="3"/>
      <c r="B58" s="3"/>
      <c r="C58" s="77"/>
      <c r="D58" s="77"/>
      <c r="E58" s="77"/>
      <c r="F58" s="77"/>
      <c r="G58" s="77"/>
      <c r="H58" s="77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2.75">
      <c r="A59" s="3"/>
      <c r="B59" s="3"/>
      <c r="C59" s="77"/>
      <c r="D59" s="77"/>
      <c r="E59" s="77"/>
      <c r="F59" s="77"/>
      <c r="G59" s="77"/>
      <c r="H59" s="77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2.75">
      <c r="A60" s="3"/>
      <c r="B60" s="3"/>
      <c r="C60" s="77"/>
      <c r="D60" s="77"/>
      <c r="E60" s="77"/>
      <c r="F60" s="77"/>
      <c r="G60" s="77"/>
      <c r="H60" s="77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</sheetData>
  <mergeCells count="7">
    <mergeCell ref="A3:B4"/>
    <mergeCell ref="Q2:R2"/>
    <mergeCell ref="Q3:R3"/>
    <mergeCell ref="O3:P3"/>
    <mergeCell ref="G3:H3"/>
    <mergeCell ref="M3:N3"/>
    <mergeCell ref="K3:L3"/>
  </mergeCells>
  <printOptions/>
  <pageMargins left="0.39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Benita Tvardovska</cp:lastModifiedBy>
  <cp:lastPrinted>2002-03-12T15:34:17Z</cp:lastPrinted>
  <dcterms:created xsi:type="dcterms:W3CDTF">2000-02-15T12:09:39Z</dcterms:created>
  <dcterms:modified xsi:type="dcterms:W3CDTF">2002-04-30T07:42:54Z</dcterms:modified>
  <cp:category/>
  <cp:version/>
  <cp:contentType/>
  <cp:contentStatus/>
</cp:coreProperties>
</file>